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defaultThemeVersion="166925"/>
  <mc:AlternateContent xmlns:mc="http://schemas.openxmlformats.org/markup-compatibility/2006">
    <mc:Choice Requires="x15">
      <x15ac:absPath xmlns:x15ac="http://schemas.microsoft.com/office/spreadsheetml/2010/11/ac" url="https://nysemail-my.sharepoint.com/personal/jonathan_greene_esd_ny_gov/Documents/Jon Greene Files/Projects/ssbci/Seed Fund/"/>
    </mc:Choice>
  </mc:AlternateContent>
  <xr:revisionPtr revIDLastSave="715" documentId="8_{E4F626C3-FA50-466C-9D81-4096B7957FB6}" xr6:coauthVersionLast="47" xr6:coauthVersionMax="47" xr10:uidLastSave="{36B65328-B86E-45DB-93DD-09A91700AF34}"/>
  <bookViews>
    <workbookView xWindow="28680" yWindow="-120" windowWidth="29040" windowHeight="15840" xr2:uid="{00000000-000D-0000-FFFF-FFFF00000000}"/>
  </bookViews>
  <sheets>
    <sheet name="Instructions" sheetId="5" r:id="rId1"/>
    <sheet name="S U Annual" sheetId="6" r:id="rId2"/>
    <sheet name="S U Quarterly Year 1 &amp; 2" sheetId="2" r:id="rId3"/>
    <sheet name="S U Project Finance" sheetId="4"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18" i="4" l="1"/>
  <c r="F18" i="4"/>
  <c r="E18" i="4"/>
  <c r="F19" i="4"/>
  <c r="E19" i="4"/>
  <c r="C38" i="4"/>
  <c r="G11" i="4"/>
  <c r="F11" i="4"/>
  <c r="D19" i="4"/>
  <c r="G11" i="2"/>
  <c r="H14" i="2"/>
  <c r="I14" i="2"/>
  <c r="J14" i="2"/>
  <c r="H15" i="2"/>
  <c r="I15" i="2"/>
  <c r="J15" i="2"/>
  <c r="H16" i="2"/>
  <c r="I16" i="2"/>
  <c r="J16" i="2"/>
  <c r="G16" i="2"/>
  <c r="G15" i="2"/>
  <c r="G14" i="2"/>
  <c r="H7" i="2"/>
  <c r="I7" i="2"/>
  <c r="J7" i="2"/>
  <c r="H8" i="2"/>
  <c r="H12" i="2" s="1"/>
  <c r="I8" i="2"/>
  <c r="J8" i="2"/>
  <c r="H9" i="2"/>
  <c r="I9" i="2"/>
  <c r="I12" i="2" s="1"/>
  <c r="J9" i="2"/>
  <c r="H10" i="2"/>
  <c r="I10" i="2"/>
  <c r="J10" i="2"/>
  <c r="J12" i="2" s="1"/>
  <c r="H11" i="2"/>
  <c r="I11" i="2"/>
  <c r="J11" i="2"/>
  <c r="G10" i="2"/>
  <c r="G9" i="2"/>
  <c r="G8" i="2"/>
  <c r="G7" i="2"/>
  <c r="D14" i="2"/>
  <c r="D17" i="2" s="1"/>
  <c r="E14" i="2"/>
  <c r="E17" i="2" s="1"/>
  <c r="F14" i="2"/>
  <c r="F17" i="2" s="1"/>
  <c r="D15" i="2"/>
  <c r="E15" i="2"/>
  <c r="F15" i="2"/>
  <c r="D16" i="2"/>
  <c r="E16" i="2"/>
  <c r="F16" i="2"/>
  <c r="C16" i="2"/>
  <c r="C15" i="2"/>
  <c r="C17" i="2" s="1"/>
  <c r="C14" i="2"/>
  <c r="D7" i="2"/>
  <c r="E7" i="2"/>
  <c r="F7" i="2"/>
  <c r="D8" i="2"/>
  <c r="E8" i="2"/>
  <c r="F8" i="2"/>
  <c r="D9" i="2"/>
  <c r="E9" i="2"/>
  <c r="F9" i="2"/>
  <c r="D10" i="2"/>
  <c r="E10" i="2"/>
  <c r="F10" i="2"/>
  <c r="E11" i="2"/>
  <c r="F11" i="2"/>
  <c r="C10" i="2"/>
  <c r="C9" i="2"/>
  <c r="C8" i="2"/>
  <c r="C7" i="2"/>
  <c r="D8" i="6"/>
  <c r="E8" i="6"/>
  <c r="F8" i="6"/>
  <c r="G8" i="6"/>
  <c r="C8" i="6"/>
  <c r="C12" i="6" s="1"/>
  <c r="G25" i="6"/>
  <c r="F7" i="6"/>
  <c r="G7" i="6"/>
  <c r="E7" i="6"/>
  <c r="D25" i="6"/>
  <c r="E25" i="6" s="1"/>
  <c r="F25" i="6" s="1"/>
  <c r="D23" i="6"/>
  <c r="E23" i="6" s="1"/>
  <c r="C15" i="6"/>
  <c r="D15" i="6" s="1"/>
  <c r="E15" i="6" s="1"/>
  <c r="F15" i="6" s="1"/>
  <c r="G15" i="6" s="1"/>
  <c r="C14" i="6"/>
  <c r="G33" i="4"/>
  <c r="F33" i="4"/>
  <c r="E33" i="4"/>
  <c r="D33" i="4"/>
  <c r="C33" i="4"/>
  <c r="D30" i="4"/>
  <c r="E30" i="4" s="1"/>
  <c r="F30" i="4" s="1"/>
  <c r="G30" i="4" s="1"/>
  <c r="D27" i="4"/>
  <c r="E27" i="4" s="1"/>
  <c r="D26" i="4"/>
  <c r="E26" i="4" s="1"/>
  <c r="C16" i="4"/>
  <c r="D16" i="4" s="1"/>
  <c r="E16" i="4" s="1"/>
  <c r="F16" i="4" s="1"/>
  <c r="G16" i="4" s="1"/>
  <c r="C15" i="4"/>
  <c r="C13" i="4"/>
  <c r="F8" i="4" l="1"/>
  <c r="E8" i="4"/>
  <c r="D13" i="4" s="1"/>
  <c r="D15" i="4"/>
  <c r="E19" i="2"/>
  <c r="G17" i="2"/>
  <c r="G12" i="2"/>
  <c r="C12" i="2"/>
  <c r="C19" i="2" s="1"/>
  <c r="D12" i="2"/>
  <c r="D19" i="2" s="1"/>
  <c r="E12" i="2"/>
  <c r="F12" i="2"/>
  <c r="F19" i="2" s="1"/>
  <c r="D12" i="6"/>
  <c r="D14" i="6"/>
  <c r="C17" i="6"/>
  <c r="D17" i="6"/>
  <c r="F23" i="6"/>
  <c r="E14" i="6"/>
  <c r="E17" i="6" s="1"/>
  <c r="C19" i="6"/>
  <c r="C20" i="6" s="1"/>
  <c r="C20" i="4"/>
  <c r="C22" i="4" s="1"/>
  <c r="C23" i="4" s="1"/>
  <c r="F26" i="4"/>
  <c r="E15" i="4"/>
  <c r="E7" i="4"/>
  <c r="F27" i="4"/>
  <c r="G8" i="4" s="1"/>
  <c r="H17" i="2" l="1"/>
  <c r="C20" i="2"/>
  <c r="D20" i="2" s="1"/>
  <c r="E20" i="2" s="1"/>
  <c r="F20" i="2" s="1"/>
  <c r="D19" i="6"/>
  <c r="D20" i="6" s="1"/>
  <c r="E12" i="6"/>
  <c r="E19" i="6" s="1"/>
  <c r="G23" i="6"/>
  <c r="G14" i="6" s="1"/>
  <c r="G17" i="6" s="1"/>
  <c r="F14" i="6"/>
  <c r="E13" i="4"/>
  <c r="F7" i="4"/>
  <c r="G27" i="4"/>
  <c r="F15" i="4"/>
  <c r="G26" i="4"/>
  <c r="J17" i="2" l="1"/>
  <c r="I17" i="2"/>
  <c r="E20" i="6"/>
  <c r="G12" i="6"/>
  <c r="G19" i="6" s="1"/>
  <c r="F17" i="6"/>
  <c r="F12" i="6"/>
  <c r="G7" i="4"/>
  <c r="D18" i="4"/>
  <c r="D20" i="4" s="1"/>
  <c r="D22" i="4" s="1"/>
  <c r="D23" i="4" s="1"/>
  <c r="F13" i="4"/>
  <c r="G15" i="4"/>
  <c r="G20" i="4" l="1"/>
  <c r="F19" i="6"/>
  <c r="F20" i="6" s="1"/>
  <c r="G20" i="6" s="1"/>
  <c r="G19" i="2"/>
  <c r="E20" i="4"/>
  <c r="E22" i="4" s="1"/>
  <c r="E23" i="4" s="1"/>
  <c r="F20" i="4"/>
  <c r="F22" i="4" s="1"/>
  <c r="G13" i="4"/>
  <c r="F23" i="4" l="1"/>
  <c r="G22" i="4"/>
  <c r="G20" i="2"/>
  <c r="H19" i="2"/>
  <c r="G23" i="4" l="1"/>
  <c r="H20" i="2"/>
  <c r="J19" i="2"/>
  <c r="I19" i="2"/>
  <c r="I20" i="2" l="1"/>
  <c r="J20" i="2" s="1"/>
</calcChain>
</file>

<file path=xl/sharedStrings.xml><?xml version="1.0" encoding="utf-8"?>
<sst xmlns="http://schemas.openxmlformats.org/spreadsheetml/2006/main" count="120" uniqueCount="61">
  <si>
    <t>R&amp;D</t>
  </si>
  <si>
    <t xml:space="preserve">Total Uses </t>
  </si>
  <si>
    <t>Equity</t>
  </si>
  <si>
    <t>Total Cashflow</t>
  </si>
  <si>
    <t>Cummulative Cashflow</t>
  </si>
  <si>
    <t>Staff</t>
  </si>
  <si>
    <t>Total Sources</t>
  </si>
  <si>
    <t>Sources &amp; Uses Analysis</t>
  </si>
  <si>
    <t>Uses of Capital</t>
  </si>
  <si>
    <t>Sources of Capital</t>
  </si>
  <si>
    <t xml:space="preserve"> </t>
  </si>
  <si>
    <t>Revenue</t>
  </si>
  <si>
    <t>1Q</t>
  </si>
  <si>
    <t>2Q</t>
  </si>
  <si>
    <t>3Q</t>
  </si>
  <si>
    <t>4Q</t>
  </si>
  <si>
    <t>COGS</t>
  </si>
  <si>
    <t>SG&amp;A</t>
  </si>
  <si>
    <t>Notes:</t>
  </si>
  <si>
    <t/>
  </si>
  <si>
    <t>Assumptions</t>
  </si>
  <si>
    <t>Grants</t>
  </si>
  <si>
    <t>Please use this space as a place to input important milestones and assumptions related to your business</t>
  </si>
  <si>
    <t>Commerical Scale Up</t>
  </si>
  <si>
    <t>Strategic Capital</t>
  </si>
  <si>
    <t>Project Finance</t>
  </si>
  <si>
    <t xml:space="preserve">Grants </t>
  </si>
  <si>
    <t>Cost of Financing</t>
  </si>
  <si>
    <t>Staffing</t>
  </si>
  <si>
    <t>Avg Cost of Employee</t>
  </si>
  <si>
    <t># Demo Units</t>
  </si>
  <si>
    <t># Pilot Units</t>
  </si>
  <si>
    <t>% Financed</t>
  </si>
  <si>
    <t>Year 1</t>
  </si>
  <si>
    <t>Year 2</t>
  </si>
  <si>
    <t>Year 3</t>
  </si>
  <si>
    <t>Year 4</t>
  </si>
  <si>
    <t>Year 5</t>
  </si>
  <si>
    <t>Product Sales</t>
  </si>
  <si>
    <t>Product COG</t>
  </si>
  <si>
    <t>Product Price</t>
  </si>
  <si>
    <t>Product Tax Credit</t>
  </si>
  <si>
    <t>Total Price for Product</t>
  </si>
  <si>
    <t>R&amp;D Phase</t>
  </si>
  <si>
    <t>Demo Phase</t>
  </si>
  <si>
    <t>Lbs of Product Produced.</t>
  </si>
  <si>
    <r>
      <rPr>
        <b/>
        <sz val="12"/>
        <color theme="1"/>
        <rFont val="Calibri"/>
        <family val="2"/>
        <scheme val="minor"/>
      </rPr>
      <t>Sources of capital</t>
    </r>
    <r>
      <rPr>
        <sz val="12"/>
        <color theme="1"/>
        <rFont val="Calibri"/>
        <family val="2"/>
        <scheme val="minor"/>
      </rPr>
      <t xml:space="preserve"> may include, but are not limited to, revenue from product sales (less cost of goods sold and sales costs), project financing, grants, non-recurring engineering (NRE), licensing fees, and investment capital. </t>
    </r>
  </si>
  <si>
    <t>Instructions to Fill Out Sources and Uses Analysis</t>
  </si>
  <si>
    <r>
      <rPr>
        <b/>
        <sz val="12"/>
        <color theme="1"/>
        <rFont val="Calibri"/>
        <family val="2"/>
        <scheme val="minor"/>
      </rPr>
      <t>Timeline</t>
    </r>
    <r>
      <rPr>
        <sz val="12"/>
        <color theme="1"/>
        <rFont val="Calibri"/>
        <family val="2"/>
        <scheme val="minor"/>
      </rPr>
      <t xml:space="preserve"> for analysis should be three to five years of operating data with the first year by quarter</t>
    </r>
  </si>
  <si>
    <t xml:space="preserve">This excel files contains two examples that can be used to capture information used in a sources and uses analysis.  This information will be used by the reviewers of your pre-seed/seed investment application to validate the financial assumptions for your start-up venture. This analysis should not be used in place of having traditional financial statements (statement of cashflows, balance sheet, income statement). </t>
  </si>
  <si>
    <r>
      <rPr>
        <b/>
        <sz val="12"/>
        <color theme="1"/>
        <rFont val="Calibri"/>
        <family val="2"/>
        <scheme val="minor"/>
      </rPr>
      <t>Uses of capital</t>
    </r>
    <r>
      <rPr>
        <sz val="12"/>
        <color theme="1"/>
        <rFont val="Calibri"/>
        <family val="2"/>
        <scheme val="minor"/>
      </rPr>
      <t xml:space="preserve"> include Sales/General/Administrative expenses (SG&amp;A), research and development, major capital expenses, staffing, and the cost of financing capital equipment. </t>
    </r>
  </si>
  <si>
    <r>
      <t xml:space="preserve">Assumptions </t>
    </r>
    <r>
      <rPr>
        <sz val="12"/>
        <color theme="1"/>
        <rFont val="Calibri"/>
        <family val="2"/>
        <scheme val="minor"/>
      </rPr>
      <t xml:space="preserve">should be explanatory in nature and include details about pricing, cost of goods, interest rates, and timing of delivery of goods to customers. Applicants should be to aire on the side of including more then less information, if you believe it will not be obvious to the reviewers. </t>
    </r>
  </si>
  <si>
    <r>
      <rPr>
        <b/>
        <sz val="12"/>
        <color theme="1"/>
        <rFont val="Calibri"/>
        <family val="2"/>
        <scheme val="minor"/>
      </rPr>
      <t>Forecasting potential sources of capital</t>
    </r>
    <r>
      <rPr>
        <sz val="12"/>
        <color theme="1"/>
        <rFont val="Calibri"/>
        <family val="2"/>
        <scheme val="minor"/>
      </rPr>
      <t xml:space="preserve"> is ok, as long as it is noted in the assumptions. For example, when including a grant in forecasting, please note its stage of approval: 1) if it is an application, approved, negotiation, under contract, or active funding vehicle. It is ok to include notes on intent to apply for and/or discussions with potential sources of capital, but they should not be included in the numercal analysis. </t>
    </r>
  </si>
  <si>
    <t>Number of Units Produced</t>
  </si>
  <si>
    <t>Pilot Plant Cost</t>
  </si>
  <si>
    <t>Demo Plant Cost</t>
  </si>
  <si>
    <t>Demo and Pilot Plants</t>
  </si>
  <si>
    <t>Loan Term (months)</t>
  </si>
  <si>
    <t>Annual Loan Payment</t>
  </si>
  <si>
    <t>Simple Interest (Annual)</t>
  </si>
  <si>
    <t>The two examples provided are not the only way to capture the information necessary to complete a Sources and Uses analysis. So feel free to modify based on your company's specific operating plan. The first tabs are a simple  annual and quarterly model that work together. The third tab (SU Project Finance) provides an example of how to incorporate project finance for capital equipment into the analysis. Additional information as follows: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</si>
</sst>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8" formatCode="&quot;$&quot;#,##0.00_);[Red]\(&quot;$&quot;#,##0.00\)"/>
    <numFmt numFmtId="44" formatCode="_(&quot;$&quot;* #,##0.00_);_(&quot;$&quot;* \(#,##0.00\);_(&quot;$&quot;* &quot;-&quot;??_);_(@_)"/>
    <numFmt numFmtId="43" formatCode="_(* #,##0.00_);_(* \(#,##0.00\);_(* &quot;-&quot;??_);_(@_)"/>
    <numFmt numFmtId="164" formatCode="_(&quot;$&quot;* #,##0_);_(&quot;$&quot;* \(#,##0\);_(&quot;$&quot;* &quot;-&quot;??_);_(@_)"/>
    <numFmt numFmtId="165" formatCode="_(* #,##0_);_(* \(#,##0\);_(* &quot;-&quot;??_);_(@_)"/>
  </numFmts>
  <fonts count="8" x14ac:knownFonts="1">
    <font>
      <sz val="12"/>
      <color theme="1"/>
      <name val="Calibri"/>
      <family val="2"/>
      <scheme val="minor"/>
    </font>
    <font>
      <sz val="11"/>
      <color theme="1"/>
      <name val="Calibri"/>
      <family val="2"/>
      <scheme val="minor"/>
    </font>
    <font>
      <sz val="12"/>
      <color theme="1"/>
      <name val="Calibri"/>
      <family val="2"/>
      <scheme val="minor"/>
    </font>
    <font>
      <b/>
      <sz val="12"/>
      <color theme="1"/>
      <name val="Calibri"/>
      <family val="2"/>
      <scheme val="minor"/>
    </font>
    <font>
      <b/>
      <i/>
      <sz val="12"/>
      <color theme="1"/>
      <name val="Calibri"/>
      <family val="2"/>
      <scheme val="minor"/>
    </font>
    <font>
      <b/>
      <sz val="14"/>
      <color theme="1"/>
      <name val="Calibri"/>
      <family val="2"/>
      <scheme val="minor"/>
    </font>
    <font>
      <sz val="12"/>
      <color rgb="FF000000"/>
      <name val="Calibri"/>
      <family val="2"/>
      <scheme val="minor"/>
    </font>
    <font>
      <b/>
      <u/>
      <sz val="12"/>
      <color theme="1"/>
      <name val="Calibri"/>
      <family val="2"/>
      <scheme val="minor"/>
    </font>
  </fonts>
  <fills count="6">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FFFF0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bottom style="thin">
        <color indexed="64"/>
      </bottom>
      <diagonal/>
    </border>
  </borders>
  <cellStyleXfs count="8">
    <xf numFmtId="0" fontId="0" fillId="0" borderId="0"/>
    <xf numFmtId="44" fontId="2"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cellStyleXfs>
  <cellXfs count="102">
    <xf numFmtId="0" fontId="0" fillId="0" borderId="0" xfId="0"/>
    <xf numFmtId="0" fontId="3" fillId="2" borderId="6" xfId="0" applyFont="1" applyFill="1" applyBorder="1" applyAlignment="1">
      <alignment horizontal="left" vertical="center"/>
    </xf>
    <xf numFmtId="0" fontId="3" fillId="2" borderId="7" xfId="0" applyFont="1" applyFill="1" applyBorder="1" applyAlignment="1">
      <alignment horizontal="left" vertical="center"/>
    </xf>
    <xf numFmtId="0" fontId="3" fillId="2" borderId="7" xfId="0" applyFont="1" applyFill="1" applyBorder="1" applyAlignment="1">
      <alignment horizontal="left" vertical="center" indent="1"/>
    </xf>
    <xf numFmtId="164" fontId="0" fillId="2" borderId="6" xfId="1" applyNumberFormat="1" applyFont="1" applyFill="1" applyBorder="1" applyAlignment="1">
      <alignment vertical="center"/>
    </xf>
    <xf numFmtId="0" fontId="3" fillId="2" borderId="1" xfId="0" applyFont="1" applyFill="1" applyBorder="1" applyAlignment="1">
      <alignment horizontal="center" vertical="center"/>
    </xf>
    <xf numFmtId="0" fontId="3" fillId="2" borderId="6" xfId="0" applyFont="1" applyFill="1" applyBorder="1" applyAlignment="1">
      <alignment horizontal="center" vertical="center"/>
    </xf>
    <xf numFmtId="0" fontId="3" fillId="2" borderId="9" xfId="0" applyFont="1" applyFill="1" applyBorder="1" applyAlignment="1">
      <alignment horizontal="center" vertical="center"/>
    </xf>
    <xf numFmtId="0" fontId="0" fillId="2" borderId="0" xfId="0" applyFill="1" applyAlignment="1">
      <alignment vertical="center"/>
    </xf>
    <xf numFmtId="0" fontId="4" fillId="4" borderId="8" xfId="0" applyFont="1" applyFill="1" applyBorder="1" applyAlignment="1">
      <alignment horizontal="left" vertical="center"/>
    </xf>
    <xf numFmtId="164" fontId="0" fillId="4" borderId="8" xfId="1" applyNumberFormat="1" applyFont="1" applyFill="1" applyBorder="1" applyAlignment="1">
      <alignment vertical="center"/>
    </xf>
    <xf numFmtId="0" fontId="4" fillId="4" borderId="7" xfId="0" applyFont="1" applyFill="1" applyBorder="1" applyAlignment="1">
      <alignment horizontal="left" vertical="center"/>
    </xf>
    <xf numFmtId="164" fontId="0" fillId="4" borderId="5" xfId="1" applyNumberFormat="1" applyFont="1" applyFill="1" applyBorder="1" applyAlignment="1">
      <alignment vertical="center"/>
    </xf>
    <xf numFmtId="164" fontId="0" fillId="2" borderId="1" xfId="1" applyNumberFormat="1" applyFont="1" applyFill="1" applyBorder="1" applyAlignment="1">
      <alignment vertical="center"/>
    </xf>
    <xf numFmtId="164" fontId="0" fillId="4" borderId="1" xfId="1" applyNumberFormat="1" applyFont="1" applyFill="1" applyBorder="1" applyAlignment="1">
      <alignment vertical="center"/>
    </xf>
    <xf numFmtId="0" fontId="0" fillId="2" borderId="6" xfId="0" applyFill="1" applyBorder="1" applyAlignment="1">
      <alignment vertical="center"/>
    </xf>
    <xf numFmtId="0" fontId="0" fillId="2" borderId="4" xfId="0" applyFill="1" applyBorder="1" applyAlignment="1">
      <alignment vertical="center"/>
    </xf>
    <xf numFmtId="0" fontId="0" fillId="2" borderId="7" xfId="0" applyFill="1" applyBorder="1" applyAlignment="1">
      <alignment vertical="center"/>
    </xf>
    <xf numFmtId="0" fontId="3" fillId="2" borderId="2" xfId="0" applyFont="1" applyFill="1" applyBorder="1" applyAlignment="1">
      <alignment horizontal="center" vertical="center"/>
    </xf>
    <xf numFmtId="0" fontId="3" fillId="2" borderId="0" xfId="0" applyFont="1" applyFill="1" applyAlignment="1">
      <alignment vertical="center"/>
    </xf>
    <xf numFmtId="164" fontId="0" fillId="2" borderId="0" xfId="0" applyNumberFormat="1" applyFill="1" applyAlignment="1">
      <alignment vertical="center"/>
    </xf>
    <xf numFmtId="164" fontId="0" fillId="4" borderId="13" xfId="1" applyNumberFormat="1" applyFont="1" applyFill="1" applyBorder="1" applyAlignment="1">
      <alignment vertical="center"/>
    </xf>
    <xf numFmtId="164" fontId="0" fillId="2" borderId="0" xfId="1" applyNumberFormat="1" applyFont="1" applyFill="1" applyBorder="1" applyAlignment="1">
      <alignment vertical="center"/>
    </xf>
    <xf numFmtId="0" fontId="3" fillId="2" borderId="10" xfId="0" applyFont="1" applyFill="1" applyBorder="1" applyAlignment="1">
      <alignment vertical="center"/>
    </xf>
    <xf numFmtId="0" fontId="0" fillId="2" borderId="11" xfId="0" applyFill="1" applyBorder="1" applyAlignment="1">
      <alignment vertical="center"/>
    </xf>
    <xf numFmtId="0" fontId="0" fillId="2" borderId="0" xfId="0" quotePrefix="1" applyFill="1" applyAlignment="1">
      <alignment vertical="center"/>
    </xf>
    <xf numFmtId="0" fontId="0" fillId="2" borderId="5" xfId="0" applyFill="1" applyBorder="1" applyAlignment="1">
      <alignment vertical="center"/>
    </xf>
    <xf numFmtId="0" fontId="0" fillId="2" borderId="14" xfId="0" applyFill="1" applyBorder="1" applyAlignment="1">
      <alignment vertical="center"/>
    </xf>
    <xf numFmtId="0" fontId="0" fillId="2" borderId="15" xfId="0" applyFill="1" applyBorder="1" applyAlignment="1">
      <alignment vertical="center"/>
    </xf>
    <xf numFmtId="0" fontId="0" fillId="2" borderId="12" xfId="0" applyFill="1" applyBorder="1" applyAlignment="1">
      <alignment vertical="center"/>
    </xf>
    <xf numFmtId="0" fontId="0" fillId="2" borderId="13" xfId="0" applyFill="1" applyBorder="1" applyAlignment="1">
      <alignment vertical="center"/>
    </xf>
    <xf numFmtId="9" fontId="0" fillId="2" borderId="0" xfId="0" applyNumberFormat="1" applyFill="1" applyAlignment="1">
      <alignment vertical="center"/>
    </xf>
    <xf numFmtId="9" fontId="0" fillId="2" borderId="0" xfId="7" applyFont="1" applyFill="1" applyBorder="1" applyAlignment="1">
      <alignment vertical="center"/>
    </xf>
    <xf numFmtId="164" fontId="0" fillId="2" borderId="0" xfId="7" applyNumberFormat="1" applyFont="1" applyFill="1" applyBorder="1" applyAlignment="1">
      <alignment vertical="center"/>
    </xf>
    <xf numFmtId="0" fontId="3" fillId="2" borderId="10" xfId="0" applyFont="1" applyFill="1" applyBorder="1" applyAlignment="1">
      <alignment horizontal="center" vertical="center"/>
    </xf>
    <xf numFmtId="164" fontId="0" fillId="2" borderId="5" xfId="1" applyNumberFormat="1" applyFont="1" applyFill="1" applyBorder="1" applyAlignment="1">
      <alignment vertical="center"/>
    </xf>
    <xf numFmtId="164" fontId="0" fillId="2" borderId="7" xfId="1" applyNumberFormat="1" applyFont="1" applyFill="1" applyBorder="1" applyAlignment="1">
      <alignment vertical="center"/>
    </xf>
    <xf numFmtId="164" fontId="0" fillId="2" borderId="14" xfId="1" applyNumberFormat="1" applyFont="1" applyFill="1" applyBorder="1" applyAlignment="1">
      <alignment vertical="center"/>
    </xf>
    <xf numFmtId="164" fontId="3" fillId="2" borderId="0" xfId="0" applyNumberFormat="1" applyFont="1" applyFill="1" applyAlignment="1">
      <alignment vertical="center"/>
    </xf>
    <xf numFmtId="164" fontId="0" fillId="4" borderId="15" xfId="1" applyNumberFormat="1" applyFont="1" applyFill="1" applyBorder="1" applyAlignment="1">
      <alignment vertical="center"/>
    </xf>
    <xf numFmtId="164" fontId="0" fillId="4" borderId="12" xfId="1" applyNumberFormat="1" applyFont="1" applyFill="1" applyBorder="1" applyAlignment="1">
      <alignment vertical="center"/>
    </xf>
    <xf numFmtId="165" fontId="0" fillId="2" borderId="5" xfId="6" applyNumberFormat="1" applyFont="1" applyFill="1" applyBorder="1" applyAlignment="1">
      <alignment vertical="center"/>
    </xf>
    <xf numFmtId="165" fontId="0" fillId="2" borderId="7" xfId="6" applyNumberFormat="1" applyFont="1" applyFill="1" applyBorder="1" applyAlignment="1">
      <alignment vertical="center"/>
    </xf>
    <xf numFmtId="44" fontId="0" fillId="2" borderId="0" xfId="1" applyFont="1" applyFill="1" applyAlignment="1">
      <alignment vertical="center"/>
    </xf>
    <xf numFmtId="44" fontId="0" fillId="2" borderId="0" xfId="0" applyNumberFormat="1" applyFill="1" applyAlignment="1">
      <alignment vertical="center"/>
    </xf>
    <xf numFmtId="8" fontId="0" fillId="2" borderId="0" xfId="0" applyNumberFormat="1" applyFill="1" applyAlignment="1">
      <alignment vertical="center"/>
    </xf>
    <xf numFmtId="9" fontId="0" fillId="2" borderId="10" xfId="7" applyFont="1" applyFill="1" applyBorder="1" applyAlignment="1">
      <alignment vertical="center"/>
    </xf>
    <xf numFmtId="9" fontId="0" fillId="2" borderId="6" xfId="7" applyFont="1" applyFill="1" applyBorder="1" applyAlignment="1">
      <alignment vertical="center"/>
    </xf>
    <xf numFmtId="44" fontId="0" fillId="2" borderId="7" xfId="1" applyFont="1" applyFill="1" applyBorder="1" applyAlignment="1">
      <alignment vertical="center"/>
    </xf>
    <xf numFmtId="44" fontId="0" fillId="2" borderId="0" xfId="1" applyFont="1" applyFill="1" applyBorder="1" applyAlignment="1">
      <alignment vertical="center"/>
    </xf>
    <xf numFmtId="0" fontId="3" fillId="2" borderId="8" xfId="0" applyFont="1" applyFill="1" applyBorder="1" applyAlignment="1">
      <alignment horizontal="left" vertical="center" indent="1"/>
    </xf>
    <xf numFmtId="44" fontId="6" fillId="2" borderId="8" xfId="0" applyNumberFormat="1" applyFont="1" applyFill="1" applyBorder="1" applyAlignment="1">
      <alignment vertical="center"/>
    </xf>
    <xf numFmtId="44" fontId="6" fillId="2" borderId="12" xfId="0" applyNumberFormat="1" applyFont="1" applyFill="1" applyBorder="1" applyAlignment="1">
      <alignment vertical="center"/>
    </xf>
    <xf numFmtId="0" fontId="3" fillId="2" borderId="5" xfId="0" applyFont="1" applyFill="1" applyBorder="1" applyAlignment="1">
      <alignment horizontal="left" vertical="center"/>
    </xf>
    <xf numFmtId="0" fontId="3" fillId="2" borderId="2" xfId="0" applyFont="1" applyFill="1" applyBorder="1" applyAlignment="1">
      <alignment vertical="center"/>
    </xf>
    <xf numFmtId="0" fontId="0" fillId="2" borderId="3" xfId="0" applyFill="1" applyBorder="1" applyAlignment="1">
      <alignment vertical="center"/>
    </xf>
    <xf numFmtId="0" fontId="3" fillId="2" borderId="1" xfId="0" applyFont="1" applyFill="1" applyBorder="1" applyAlignment="1">
      <alignment vertical="center"/>
    </xf>
    <xf numFmtId="164" fontId="0" fillId="2" borderId="1" xfId="1" applyNumberFormat="1" applyFont="1" applyFill="1" applyBorder="1" applyAlignment="1">
      <alignment horizontal="right" vertical="center"/>
    </xf>
    <xf numFmtId="0" fontId="0" fillId="2" borderId="9" xfId="0" applyFill="1" applyBorder="1" applyAlignment="1">
      <alignment vertical="center"/>
    </xf>
    <xf numFmtId="165" fontId="0" fillId="2" borderId="0" xfId="0" applyNumberFormat="1" applyFill="1" applyAlignment="1">
      <alignment vertical="center"/>
    </xf>
    <xf numFmtId="164" fontId="0" fillId="4" borderId="1" xfId="1" applyNumberFormat="1" applyFont="1" applyFill="1" applyBorder="1" applyAlignment="1">
      <alignment horizontal="left" vertical="center"/>
    </xf>
    <xf numFmtId="0" fontId="0" fillId="0" borderId="0" xfId="0" applyAlignment="1">
      <alignment wrapText="1"/>
    </xf>
    <xf numFmtId="0" fontId="7" fillId="0" borderId="0" xfId="0" applyFont="1" applyAlignment="1">
      <alignment wrapText="1"/>
    </xf>
    <xf numFmtId="0" fontId="0" fillId="0" borderId="0" xfId="0" applyAlignment="1">
      <alignment horizontal="left" wrapText="1" indent="1"/>
    </xf>
    <xf numFmtId="0" fontId="3" fillId="0" borderId="0" xfId="0" applyFont="1" applyAlignment="1">
      <alignment horizontal="left" wrapText="1" indent="1"/>
    </xf>
    <xf numFmtId="0" fontId="3" fillId="3" borderId="2" xfId="0" applyFont="1" applyFill="1" applyBorder="1" applyAlignment="1">
      <alignment horizontal="center" vertical="center"/>
    </xf>
    <xf numFmtId="0" fontId="3" fillId="3" borderId="3" xfId="0" applyFont="1" applyFill="1" applyBorder="1" applyAlignment="1">
      <alignment horizontal="center" vertical="center"/>
    </xf>
    <xf numFmtId="0" fontId="3" fillId="3" borderId="4" xfId="0" applyFont="1" applyFill="1" applyBorder="1" applyAlignment="1">
      <alignment horizontal="center" vertical="center"/>
    </xf>
    <xf numFmtId="0" fontId="3" fillId="2" borderId="0" xfId="0" applyFont="1" applyFill="1" applyAlignment="1">
      <alignment horizontal="center" vertical="center"/>
    </xf>
    <xf numFmtId="0" fontId="3" fillId="3" borderId="2" xfId="0" applyFont="1" applyFill="1" applyBorder="1" applyAlignment="1">
      <alignment horizontal="center" vertical="center" wrapText="1"/>
    </xf>
    <xf numFmtId="0" fontId="3" fillId="3" borderId="3"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4" xfId="0" applyFont="1" applyFill="1" applyBorder="1" applyAlignment="1">
      <alignment horizontal="center" vertical="center"/>
    </xf>
    <xf numFmtId="0" fontId="3" fillId="3" borderId="2" xfId="0" applyFont="1" applyFill="1" applyBorder="1" applyAlignment="1">
      <alignment horizontal="left" vertical="center"/>
    </xf>
    <xf numFmtId="0" fontId="3" fillId="3" borderId="3" xfId="0" applyFont="1" applyFill="1" applyBorder="1" applyAlignment="1">
      <alignment horizontal="left" vertical="center"/>
    </xf>
    <xf numFmtId="0" fontId="3" fillId="3" borderId="4" xfId="0" applyFont="1" applyFill="1" applyBorder="1" applyAlignment="1">
      <alignment horizontal="left" vertical="center"/>
    </xf>
    <xf numFmtId="0" fontId="3" fillId="3" borderId="2" xfId="0" applyFont="1" applyFill="1" applyBorder="1" applyAlignment="1">
      <alignment horizontal="left" vertical="center" wrapText="1"/>
    </xf>
    <xf numFmtId="0" fontId="3" fillId="3" borderId="3" xfId="0" applyFont="1" applyFill="1" applyBorder="1" applyAlignment="1">
      <alignment horizontal="left" vertical="center" wrapText="1"/>
    </xf>
    <xf numFmtId="0" fontId="3" fillId="3" borderId="4" xfId="0" applyFont="1" applyFill="1" applyBorder="1" applyAlignment="1">
      <alignment horizontal="left" vertical="center" wrapText="1"/>
    </xf>
    <xf numFmtId="0" fontId="3" fillId="3" borderId="9" xfId="0" applyFont="1" applyFill="1" applyBorder="1" applyAlignment="1">
      <alignment horizontal="left" vertical="center" wrapText="1"/>
    </xf>
    <xf numFmtId="0" fontId="3" fillId="3" borderId="11" xfId="0" applyFont="1" applyFill="1" applyBorder="1" applyAlignment="1">
      <alignment horizontal="left" vertical="center" wrapText="1"/>
    </xf>
    <xf numFmtId="0" fontId="3" fillId="2" borderId="11" xfId="0" applyFont="1" applyFill="1" applyBorder="1" applyAlignment="1">
      <alignment horizontal="center" vertical="center"/>
    </xf>
    <xf numFmtId="164" fontId="0" fillId="4" borderId="7" xfId="1" applyNumberFormat="1" applyFont="1" applyFill="1" applyBorder="1" applyAlignment="1">
      <alignment vertical="center"/>
    </xf>
    <xf numFmtId="0" fontId="0" fillId="2" borderId="0" xfId="0" applyFill="1" applyBorder="1" applyAlignment="1">
      <alignment vertical="center"/>
    </xf>
    <xf numFmtId="44" fontId="0" fillId="2" borderId="14" xfId="1" applyFont="1" applyFill="1" applyBorder="1" applyAlignment="1">
      <alignment vertical="center"/>
    </xf>
    <xf numFmtId="44" fontId="6" fillId="2" borderId="13" xfId="0" applyNumberFormat="1" applyFont="1" applyFill="1" applyBorder="1" applyAlignment="1">
      <alignment vertical="center"/>
    </xf>
    <xf numFmtId="9" fontId="0" fillId="2" borderId="0" xfId="0" applyNumberFormat="1" applyFill="1" applyBorder="1" applyAlignment="1">
      <alignment vertical="center"/>
    </xf>
    <xf numFmtId="0" fontId="3" fillId="2" borderId="0" xfId="0" applyFont="1" applyFill="1" applyBorder="1" applyAlignment="1">
      <alignment vertical="center"/>
    </xf>
    <xf numFmtId="164" fontId="0" fillId="2" borderId="0" xfId="0" applyNumberFormat="1" applyFill="1" applyBorder="1" applyAlignment="1">
      <alignment vertical="center"/>
    </xf>
    <xf numFmtId="164" fontId="3" fillId="2" borderId="0" xfId="1" applyNumberFormat="1" applyFont="1" applyFill="1" applyBorder="1" applyAlignment="1">
      <alignment vertical="center"/>
    </xf>
    <xf numFmtId="164" fontId="0" fillId="5" borderId="7" xfId="1" applyNumberFormat="1" applyFont="1" applyFill="1" applyBorder="1" applyAlignment="1">
      <alignment vertical="center"/>
    </xf>
    <xf numFmtId="164" fontId="0" fillId="2" borderId="13" xfId="1" applyNumberFormat="1" applyFont="1" applyFill="1" applyBorder="1" applyAlignment="1">
      <alignment vertical="center"/>
    </xf>
    <xf numFmtId="164" fontId="0" fillId="2" borderId="11" xfId="1" applyNumberFormat="1" applyFont="1" applyFill="1" applyBorder="1" applyAlignment="1">
      <alignment vertical="center"/>
    </xf>
    <xf numFmtId="0" fontId="3" fillId="2" borderId="0" xfId="0" applyFont="1" applyFill="1" applyBorder="1" applyAlignment="1">
      <alignment horizontal="center" vertical="center"/>
    </xf>
    <xf numFmtId="165" fontId="0" fillId="2" borderId="0" xfId="6" applyNumberFormat="1" applyFont="1" applyFill="1" applyBorder="1" applyAlignment="1">
      <alignment vertical="center"/>
    </xf>
    <xf numFmtId="44" fontId="6" fillId="2" borderId="0" xfId="0" applyNumberFormat="1" applyFont="1" applyFill="1" applyBorder="1" applyAlignment="1">
      <alignment vertical="center"/>
    </xf>
    <xf numFmtId="0" fontId="0" fillId="2" borderId="0" xfId="6" applyNumberFormat="1" applyFont="1" applyFill="1" applyBorder="1" applyAlignment="1">
      <alignment vertical="center"/>
    </xf>
    <xf numFmtId="0" fontId="3" fillId="2" borderId="0" xfId="0" applyFont="1" applyFill="1" applyBorder="1" applyAlignment="1">
      <alignment horizontal="center" vertical="center" wrapText="1"/>
    </xf>
  </cellXfs>
  <cellStyles count="8">
    <cellStyle name="Comma" xfId="6" builtinId="3"/>
    <cellStyle name="Comma 2" xfId="3" xr:uid="{00000000-0005-0000-0000-000001000000}"/>
    <cellStyle name="Currency" xfId="1" builtinId="4"/>
    <cellStyle name="Currency 2" xfId="5" xr:uid="{00000000-0005-0000-0000-000003000000}"/>
    <cellStyle name="Normal" xfId="0" builtinId="0"/>
    <cellStyle name="Normal 2" xfId="2" xr:uid="{00000000-0005-0000-0000-000005000000}"/>
    <cellStyle name="Percent" xfId="7" builtinId="5"/>
    <cellStyle name="Percent 2" xfId="4" xr:uid="{00000000-0005-0000-0000-000007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2.xml"/><Relationship Id="rId5" Type="http://schemas.openxmlformats.org/officeDocument/2006/relationships/theme" Target="theme/theme1.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7</xdr:col>
      <xdr:colOff>522720</xdr:colOff>
      <xdr:row>16</xdr:row>
      <xdr:rowOff>173181</xdr:rowOff>
    </xdr:from>
    <xdr:to>
      <xdr:col>8</xdr:col>
      <xdr:colOff>715529</xdr:colOff>
      <xdr:row>21</xdr:row>
      <xdr:rowOff>103908</xdr:rowOff>
    </xdr:to>
    <xdr:sp macro="" textlink="">
      <xdr:nvSpPr>
        <xdr:cNvPr id="2" name="TextBox 1">
          <a:extLst>
            <a:ext uri="{FF2B5EF4-FFF2-40B4-BE49-F238E27FC236}">
              <a16:creationId xmlns:a16="http://schemas.microsoft.com/office/drawing/2014/main" id="{86E78561-EBDF-DC50-BF53-EC8CFBFCEB01}"/>
            </a:ext>
          </a:extLst>
        </xdr:cNvPr>
        <xdr:cNvSpPr txBox="1"/>
      </xdr:nvSpPr>
      <xdr:spPr>
        <a:xfrm>
          <a:off x="7484629" y="3359726"/>
          <a:ext cx="1786082" cy="92652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Your goal should be to demonstrate a realistic pathway to breakeven and/or profitability via operational cashflow. </a:t>
          </a:r>
        </a:p>
      </xdr:txBody>
    </xdr:sp>
    <xdr:clientData/>
  </xdr:twoCellAnchor>
  <xdr:twoCellAnchor>
    <xdr:from>
      <xdr:col>7</xdr:col>
      <xdr:colOff>77932</xdr:colOff>
      <xdr:row>18</xdr:row>
      <xdr:rowOff>123536</xdr:rowOff>
    </xdr:from>
    <xdr:to>
      <xdr:col>7</xdr:col>
      <xdr:colOff>522720</xdr:colOff>
      <xdr:row>19</xdr:row>
      <xdr:rowOff>38965</xdr:rowOff>
    </xdr:to>
    <xdr:cxnSp macro="">
      <xdr:nvCxnSpPr>
        <xdr:cNvPr id="4" name="Straight Arrow Connector 3">
          <a:extLst>
            <a:ext uri="{FF2B5EF4-FFF2-40B4-BE49-F238E27FC236}">
              <a16:creationId xmlns:a16="http://schemas.microsoft.com/office/drawing/2014/main" id="{EDFCC368-3B9F-8287-9150-57582304AA3C}"/>
            </a:ext>
          </a:extLst>
        </xdr:cNvPr>
        <xdr:cNvCxnSpPr>
          <a:stCxn id="2" idx="1"/>
        </xdr:cNvCxnSpPr>
      </xdr:nvCxnSpPr>
      <xdr:spPr>
        <a:xfrm flipH="1" flipV="1">
          <a:off x="7039841" y="3708400"/>
          <a:ext cx="444788" cy="114588"/>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BA3E14-620E-47B7-84E4-CAE662D79AB7}">
  <dimension ref="C3:C12"/>
  <sheetViews>
    <sheetView tabSelected="1" zoomScale="160" zoomScaleNormal="160" workbookViewId="0">
      <selection activeCell="C4" sqref="C4"/>
    </sheetView>
  </sheetViews>
  <sheetFormatPr defaultRowHeight="15.5" x14ac:dyDescent="0.35"/>
  <cols>
    <col min="3" max="3" width="96.6640625" style="61" bestFit="1" customWidth="1"/>
  </cols>
  <sheetData>
    <row r="3" spans="3:3" x14ac:dyDescent="0.35">
      <c r="C3" s="62" t="s">
        <v>47</v>
      </c>
    </row>
    <row r="4" spans="3:3" ht="62" x14ac:dyDescent="0.35">
      <c r="C4" s="61" t="s">
        <v>49</v>
      </c>
    </row>
    <row r="5" spans="3:3" ht="5" customHeight="1" x14ac:dyDescent="0.35"/>
    <row r="6" spans="3:3" ht="62" x14ac:dyDescent="0.35">
      <c r="C6" s="61" t="s">
        <v>60</v>
      </c>
    </row>
    <row r="7" spans="3:3" ht="3.5" customHeight="1" x14ac:dyDescent="0.35"/>
    <row r="8" spans="3:3" ht="31" x14ac:dyDescent="0.35">
      <c r="C8" s="63" t="s">
        <v>46</v>
      </c>
    </row>
    <row r="9" spans="3:3" ht="31" x14ac:dyDescent="0.35">
      <c r="C9" s="63" t="s">
        <v>50</v>
      </c>
    </row>
    <row r="10" spans="3:3" ht="46.5" x14ac:dyDescent="0.35">
      <c r="C10" s="64" t="s">
        <v>51</v>
      </c>
    </row>
    <row r="11" spans="3:3" x14ac:dyDescent="0.35">
      <c r="C11" s="63" t="s">
        <v>48</v>
      </c>
    </row>
    <row r="12" spans="3:3" ht="62" x14ac:dyDescent="0.35">
      <c r="C12" s="63" t="s">
        <v>52</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7C6771-8EBA-426C-AFBC-B8EDCE7532AC}">
  <dimension ref="A4:AG33"/>
  <sheetViews>
    <sheetView zoomScale="110" zoomScaleNormal="110" workbookViewId="0">
      <selection activeCell="C10" sqref="C10"/>
    </sheetView>
  </sheetViews>
  <sheetFormatPr defaultColWidth="20.83203125" defaultRowHeight="15.5" x14ac:dyDescent="0.35"/>
  <cols>
    <col min="1" max="1" width="3.58203125" style="8" customWidth="1"/>
    <col min="2" max="2" width="30.5" style="8" customWidth="1"/>
    <col min="3" max="3" width="10.5" style="8" bestFit="1" customWidth="1"/>
    <col min="4" max="4" width="11.75" style="8" bestFit="1" customWidth="1"/>
    <col min="5" max="6" width="11.83203125" style="8" bestFit="1" customWidth="1"/>
    <col min="7" max="7" width="12.25" style="8" bestFit="1" customWidth="1"/>
    <col min="8" max="16384" width="20.83203125" style="8"/>
  </cols>
  <sheetData>
    <row r="4" spans="1:18" ht="15.5" customHeight="1" x14ac:dyDescent="0.35">
      <c r="B4" s="72" t="s">
        <v>7</v>
      </c>
      <c r="C4" s="18" t="s">
        <v>43</v>
      </c>
      <c r="D4" s="56" t="s">
        <v>44</v>
      </c>
      <c r="E4" s="74" t="s">
        <v>23</v>
      </c>
      <c r="F4" s="75"/>
      <c r="G4" s="76"/>
    </row>
    <row r="5" spans="1:18" ht="15.5" customHeight="1" x14ac:dyDescent="0.35">
      <c r="B5" s="73"/>
      <c r="C5" s="34" t="s">
        <v>33</v>
      </c>
      <c r="D5" s="6" t="s">
        <v>34</v>
      </c>
      <c r="E5" s="7" t="s">
        <v>35</v>
      </c>
      <c r="F5" s="6" t="s">
        <v>36</v>
      </c>
      <c r="G5" s="85" t="s">
        <v>37</v>
      </c>
      <c r="M5" s="19"/>
      <c r="N5" s="19"/>
      <c r="O5" s="19"/>
      <c r="P5" s="19"/>
      <c r="Q5" s="19"/>
      <c r="R5" s="19"/>
    </row>
    <row r="6" spans="1:18" x14ac:dyDescent="0.35">
      <c r="B6" s="69" t="s">
        <v>9</v>
      </c>
      <c r="C6" s="70"/>
      <c r="D6" s="70"/>
      <c r="E6" s="70"/>
      <c r="F6" s="70"/>
      <c r="G6" s="71"/>
      <c r="L6" s="68"/>
      <c r="M6" s="68"/>
      <c r="N6" s="68"/>
      <c r="O6" s="68"/>
      <c r="P6" s="68"/>
      <c r="Q6" s="68"/>
      <c r="R6" s="68"/>
    </row>
    <row r="7" spans="1:18" x14ac:dyDescent="0.35">
      <c r="B7" s="1" t="s">
        <v>38</v>
      </c>
      <c r="C7" s="35"/>
      <c r="D7" s="4"/>
      <c r="E7" s="22">
        <f>E26*E24</f>
        <v>100000</v>
      </c>
      <c r="F7" s="4">
        <f t="shared" ref="F7:G7" si="0">F26*F24</f>
        <v>2450000</v>
      </c>
      <c r="G7" s="4">
        <f t="shared" si="0"/>
        <v>7274999.9999999991</v>
      </c>
      <c r="L7" s="19"/>
      <c r="M7" s="20"/>
      <c r="N7" s="20"/>
      <c r="O7" s="20"/>
      <c r="P7" s="20"/>
      <c r="Q7" s="20"/>
      <c r="R7" s="20"/>
    </row>
    <row r="8" spans="1:18" x14ac:dyDescent="0.35">
      <c r="B8" s="3" t="s">
        <v>16</v>
      </c>
      <c r="C8" s="35">
        <f>-C24*C25</f>
        <v>0</v>
      </c>
      <c r="D8" s="35">
        <f t="shared" ref="D8:G8" si="1">-D24*D25</f>
        <v>-1800.0000000000002</v>
      </c>
      <c r="E8" s="35">
        <f t="shared" si="1"/>
        <v>-6480.0000000000009</v>
      </c>
      <c r="F8" s="35">
        <f t="shared" si="1"/>
        <v>-145800.00000000003</v>
      </c>
      <c r="G8" s="36">
        <f t="shared" si="1"/>
        <v>-393660.00000000012</v>
      </c>
      <c r="L8" s="19"/>
      <c r="M8" s="20"/>
      <c r="N8" s="20"/>
      <c r="O8" s="20"/>
      <c r="P8" s="20"/>
      <c r="Q8" s="20"/>
      <c r="R8" s="20"/>
    </row>
    <row r="9" spans="1:18" x14ac:dyDescent="0.35">
      <c r="B9" s="2" t="s">
        <v>2</v>
      </c>
      <c r="C9" s="35">
        <v>250000</v>
      </c>
      <c r="D9" s="36">
        <v>500000</v>
      </c>
      <c r="E9" s="22">
        <v>3500000</v>
      </c>
      <c r="F9" s="36"/>
      <c r="G9" s="36"/>
      <c r="L9" s="19"/>
      <c r="M9" s="20"/>
      <c r="N9" s="20"/>
      <c r="O9" s="20"/>
      <c r="P9" s="20"/>
      <c r="Q9" s="20"/>
      <c r="R9" s="20"/>
    </row>
    <row r="10" spans="1:18" x14ac:dyDescent="0.35">
      <c r="B10" s="2" t="s">
        <v>24</v>
      </c>
      <c r="C10" s="35"/>
      <c r="D10" s="35"/>
      <c r="E10" s="35">
        <v>1000000</v>
      </c>
      <c r="F10" s="36">
        <v>1000000</v>
      </c>
      <c r="G10" s="36"/>
      <c r="L10" s="19"/>
      <c r="M10" s="20"/>
      <c r="N10" s="20"/>
      <c r="O10" s="20"/>
      <c r="P10" s="20"/>
      <c r="Q10" s="20"/>
      <c r="R10" s="20"/>
    </row>
    <row r="11" spans="1:18" x14ac:dyDescent="0.35">
      <c r="A11" s="8" t="s">
        <v>10</v>
      </c>
      <c r="B11" s="2" t="s">
        <v>26</v>
      </c>
      <c r="C11" s="35">
        <v>500000</v>
      </c>
      <c r="D11" s="36">
        <v>500000</v>
      </c>
      <c r="E11" s="22">
        <v>1500000</v>
      </c>
      <c r="F11" s="36">
        <v>2500000</v>
      </c>
      <c r="G11" s="36">
        <v>0</v>
      </c>
      <c r="L11" s="68"/>
      <c r="M11" s="68"/>
      <c r="N11" s="68"/>
      <c r="O11" s="68"/>
      <c r="P11" s="68"/>
      <c r="Q11" s="68"/>
      <c r="R11" s="68"/>
    </row>
    <row r="12" spans="1:18" x14ac:dyDescent="0.35">
      <c r="B12" s="9" t="s">
        <v>6</v>
      </c>
      <c r="C12" s="10">
        <f>SUM(C7:C11)</f>
        <v>750000</v>
      </c>
      <c r="D12" s="10">
        <f>SUM(D7:D11)</f>
        <v>998200</v>
      </c>
      <c r="E12" s="39">
        <f>SUM(E7:E11)</f>
        <v>6093520</v>
      </c>
      <c r="F12" s="10">
        <f>SUM(F7:F11)</f>
        <v>5804200</v>
      </c>
      <c r="G12" s="10">
        <f>SUM(G7:G11)</f>
        <v>6881339.9999999991</v>
      </c>
      <c r="L12" s="19"/>
      <c r="M12" s="20"/>
      <c r="N12" s="20"/>
      <c r="O12" s="20"/>
      <c r="P12" s="20"/>
      <c r="Q12" s="20"/>
      <c r="R12" s="20"/>
    </row>
    <row r="13" spans="1:18" x14ac:dyDescent="0.35">
      <c r="B13" s="65" t="s">
        <v>8</v>
      </c>
      <c r="C13" s="66"/>
      <c r="D13" s="66"/>
      <c r="E13" s="66"/>
      <c r="F13" s="66"/>
      <c r="G13" s="67"/>
      <c r="L13" s="19"/>
      <c r="M13" s="20"/>
      <c r="N13" s="20"/>
      <c r="O13" s="20"/>
      <c r="P13" s="20"/>
      <c r="Q13" s="20"/>
      <c r="R13" s="20"/>
    </row>
    <row r="14" spans="1:18" x14ac:dyDescent="0.35">
      <c r="B14" s="2" t="s">
        <v>5</v>
      </c>
      <c r="C14" s="35">
        <f>C23*C22</f>
        <v>166000</v>
      </c>
      <c r="D14" s="36">
        <f>D22*D23</f>
        <v>423300</v>
      </c>
      <c r="E14" s="22">
        <f>E22*E23</f>
        <v>863532</v>
      </c>
      <c r="F14" s="36">
        <f>F22*F23</f>
        <v>1321203.96</v>
      </c>
      <c r="G14" s="37">
        <f>G22*G23</f>
        <v>1796837.3855999999</v>
      </c>
      <c r="L14" s="19"/>
      <c r="M14" s="20"/>
      <c r="N14" s="20"/>
      <c r="O14" s="20"/>
      <c r="P14" s="20"/>
      <c r="Q14" s="20"/>
      <c r="R14" s="20"/>
    </row>
    <row r="15" spans="1:18" x14ac:dyDescent="0.35">
      <c r="B15" s="2" t="s">
        <v>17</v>
      </c>
      <c r="C15" s="35">
        <f>124500*1.2</f>
        <v>149400</v>
      </c>
      <c r="D15" s="36">
        <f>C15*1.2</f>
        <v>179280</v>
      </c>
      <c r="E15" s="22">
        <f>D15*1.3</f>
        <v>233064</v>
      </c>
      <c r="F15" s="36">
        <f>E15*1.2</f>
        <v>279676.79999999999</v>
      </c>
      <c r="G15" s="37">
        <f>F15*1.5</f>
        <v>419515.19999999995</v>
      </c>
      <c r="L15" s="19"/>
      <c r="M15" s="20"/>
      <c r="N15" s="20"/>
      <c r="O15" s="20"/>
      <c r="P15" s="20"/>
      <c r="Q15" s="20"/>
      <c r="R15" s="20"/>
    </row>
    <row r="16" spans="1:18" x14ac:dyDescent="0.35">
      <c r="B16" s="2" t="s">
        <v>0</v>
      </c>
      <c r="C16" s="35">
        <v>250000</v>
      </c>
      <c r="D16" s="36">
        <v>250000</v>
      </c>
      <c r="E16" s="22">
        <v>4000000</v>
      </c>
      <c r="F16" s="36">
        <v>2000000</v>
      </c>
      <c r="G16" s="37">
        <v>3000000</v>
      </c>
      <c r="L16" s="19"/>
      <c r="M16" s="20"/>
      <c r="N16" s="20"/>
      <c r="O16" s="20"/>
      <c r="P16" s="20"/>
      <c r="Q16" s="20"/>
      <c r="R16" s="20"/>
    </row>
    <row r="17" spans="2:33" x14ac:dyDescent="0.35">
      <c r="B17" s="11" t="s">
        <v>1</v>
      </c>
      <c r="C17" s="12">
        <f>SUM(C14:C16)</f>
        <v>565400</v>
      </c>
      <c r="D17" s="12">
        <f>SUM(D14:D16)</f>
        <v>852580</v>
      </c>
      <c r="E17" s="12">
        <f>SUM(E14:E16)</f>
        <v>5096596</v>
      </c>
      <c r="F17" s="12">
        <f>SUM(F14:F16)</f>
        <v>3600880.76</v>
      </c>
      <c r="G17" s="86">
        <f>SUM(G14:G16)</f>
        <v>5216352.5855999999</v>
      </c>
      <c r="L17" s="19"/>
    </row>
    <row r="18" spans="2:33" x14ac:dyDescent="0.35">
      <c r="B18" s="65" t="s">
        <v>3</v>
      </c>
      <c r="C18" s="66"/>
      <c r="D18" s="66"/>
      <c r="E18" s="66"/>
      <c r="F18" s="66"/>
      <c r="G18" s="67"/>
      <c r="L18" s="19"/>
    </row>
    <row r="19" spans="2:33" x14ac:dyDescent="0.35">
      <c r="B19" s="11" t="s">
        <v>3</v>
      </c>
      <c r="C19" s="12">
        <f>C12-C17</f>
        <v>184600</v>
      </c>
      <c r="D19" s="12">
        <f>D12-D17</f>
        <v>145620</v>
      </c>
      <c r="E19" s="12">
        <f>E12-E17</f>
        <v>996924</v>
      </c>
      <c r="F19" s="12">
        <f>F12-F17</f>
        <v>2203319.2400000002</v>
      </c>
      <c r="G19" s="94">
        <f>G12-G17</f>
        <v>1664987.4143999992</v>
      </c>
      <c r="L19" s="19"/>
    </row>
    <row r="20" spans="2:33" x14ac:dyDescent="0.35">
      <c r="B20" s="9" t="s">
        <v>4</v>
      </c>
      <c r="C20" s="39">
        <f>C19</f>
        <v>184600</v>
      </c>
      <c r="D20" s="10">
        <f t="shared" ref="D20:G20" si="2">C20+D19</f>
        <v>330220</v>
      </c>
      <c r="E20" s="40">
        <f t="shared" si="2"/>
        <v>1327144</v>
      </c>
      <c r="F20" s="10">
        <f t="shared" si="2"/>
        <v>3530463.24</v>
      </c>
      <c r="G20" s="95">
        <f t="shared" si="2"/>
        <v>5195450.6543999994</v>
      </c>
      <c r="L20" s="19"/>
    </row>
    <row r="21" spans="2:33" x14ac:dyDescent="0.35">
      <c r="B21" s="69" t="s">
        <v>20</v>
      </c>
      <c r="C21" s="70"/>
      <c r="D21" s="70"/>
      <c r="E21" s="70"/>
      <c r="F21" s="70"/>
      <c r="G21" s="71"/>
    </row>
    <row r="22" spans="2:33" x14ac:dyDescent="0.35">
      <c r="B22" s="2" t="s">
        <v>28</v>
      </c>
      <c r="C22" s="26">
        <v>2</v>
      </c>
      <c r="D22" s="17">
        <v>5</v>
      </c>
      <c r="E22" s="87">
        <v>10</v>
      </c>
      <c r="F22" s="15">
        <v>15</v>
      </c>
      <c r="G22" s="27">
        <v>20</v>
      </c>
    </row>
    <row r="23" spans="2:33" x14ac:dyDescent="0.35">
      <c r="B23" s="2" t="s">
        <v>29</v>
      </c>
      <c r="C23" s="35">
        <v>83000</v>
      </c>
      <c r="D23" s="35">
        <f>1.02*C23</f>
        <v>84660</v>
      </c>
      <c r="E23" s="35">
        <f t="shared" ref="E23:G23" si="3">1.02*D23</f>
        <v>86353.2</v>
      </c>
      <c r="F23" s="35">
        <f t="shared" si="3"/>
        <v>88080.263999999996</v>
      </c>
      <c r="G23" s="36">
        <f t="shared" si="3"/>
        <v>89841.869279999999</v>
      </c>
    </row>
    <row r="24" spans="2:33" x14ac:dyDescent="0.35">
      <c r="B24" s="2" t="s">
        <v>53</v>
      </c>
      <c r="C24" s="41">
        <v>0</v>
      </c>
      <c r="D24" s="42">
        <v>5000</v>
      </c>
      <c r="E24" s="41">
        <v>20000</v>
      </c>
      <c r="F24" s="41">
        <v>500000</v>
      </c>
      <c r="G24" s="42">
        <v>1500000</v>
      </c>
      <c r="N24" s="43"/>
      <c r="O24" s="44"/>
      <c r="P24" s="44"/>
      <c r="Q24" s="44"/>
      <c r="R24" s="44"/>
      <c r="S24" s="44"/>
      <c r="T24" s="44"/>
      <c r="U24" s="44"/>
      <c r="V24" s="44"/>
      <c r="W24" s="44"/>
      <c r="X24" s="44"/>
      <c r="Y24" s="44"/>
      <c r="Z24" s="44"/>
      <c r="AA24" s="44"/>
      <c r="AB24" s="44"/>
      <c r="AC24" s="44"/>
      <c r="AD24" s="44"/>
      <c r="AE24" s="44"/>
      <c r="AF24" s="44"/>
      <c r="AG24" s="44"/>
    </row>
    <row r="25" spans="2:33" x14ac:dyDescent="0.35">
      <c r="B25" s="1" t="s">
        <v>39</v>
      </c>
      <c r="C25" s="46">
        <v>0.4</v>
      </c>
      <c r="D25" s="47">
        <f>C25*0.9</f>
        <v>0.36000000000000004</v>
      </c>
      <c r="E25" s="47">
        <f t="shared" ref="E25:G25" si="4">D25*0.9</f>
        <v>0.32400000000000007</v>
      </c>
      <c r="F25" s="47">
        <f t="shared" si="4"/>
        <v>0.29160000000000008</v>
      </c>
      <c r="G25" s="47">
        <f t="shared" si="4"/>
        <v>0.26244000000000006</v>
      </c>
    </row>
    <row r="26" spans="2:33" x14ac:dyDescent="0.35">
      <c r="B26" s="2" t="s">
        <v>40</v>
      </c>
      <c r="C26" s="48">
        <v>5</v>
      </c>
      <c r="D26" s="48">
        <v>5</v>
      </c>
      <c r="E26" s="49">
        <v>5</v>
      </c>
      <c r="F26" s="48">
        <v>4.9000000000000004</v>
      </c>
      <c r="G26" s="88">
        <v>4.8499999999999996</v>
      </c>
    </row>
    <row r="27" spans="2:33" x14ac:dyDescent="0.35">
      <c r="B27" s="54" t="s">
        <v>18</v>
      </c>
      <c r="C27" s="55"/>
      <c r="D27" s="55"/>
      <c r="E27" s="55"/>
      <c r="F27" s="55"/>
      <c r="G27" s="16"/>
    </row>
    <row r="28" spans="2:33" ht="15.5" customHeight="1" x14ac:dyDescent="0.35">
      <c r="B28" s="26" t="s">
        <v>22</v>
      </c>
      <c r="C28" s="87"/>
      <c r="D28" s="87"/>
      <c r="E28" s="87"/>
      <c r="F28" s="87"/>
      <c r="G28" s="27"/>
      <c r="K28" s="25" t="s">
        <v>19</v>
      </c>
    </row>
    <row r="29" spans="2:33" x14ac:dyDescent="0.35">
      <c r="B29" s="26"/>
      <c r="C29" s="87"/>
      <c r="D29" s="87"/>
      <c r="E29" s="87"/>
      <c r="F29" s="87"/>
      <c r="G29" s="27"/>
    </row>
    <row r="30" spans="2:33" x14ac:dyDescent="0.35">
      <c r="B30" s="26"/>
      <c r="C30" s="87"/>
      <c r="D30" s="87"/>
      <c r="E30" s="87"/>
      <c r="F30" s="87"/>
      <c r="G30" s="27"/>
    </row>
    <row r="31" spans="2:33" x14ac:dyDescent="0.35">
      <c r="B31" s="26"/>
      <c r="C31" s="87"/>
      <c r="D31" s="87"/>
      <c r="E31" s="87"/>
      <c r="F31" s="87"/>
      <c r="G31" s="27"/>
    </row>
    <row r="32" spans="2:33" x14ac:dyDescent="0.35">
      <c r="B32" s="28"/>
      <c r="C32" s="29"/>
      <c r="D32" s="29"/>
      <c r="E32" s="29"/>
      <c r="F32" s="29"/>
      <c r="G32" s="30"/>
    </row>
    <row r="33" spans="2:7" x14ac:dyDescent="0.35">
      <c r="B33" s="28"/>
      <c r="C33" s="29"/>
      <c r="D33" s="29"/>
      <c r="E33" s="29"/>
      <c r="F33" s="29"/>
      <c r="G33" s="30"/>
    </row>
  </sheetData>
  <mergeCells count="8">
    <mergeCell ref="B18:G18"/>
    <mergeCell ref="B21:G21"/>
    <mergeCell ref="B4:B5"/>
    <mergeCell ref="E4:G4"/>
    <mergeCell ref="B6:G6"/>
    <mergeCell ref="L6:R6"/>
    <mergeCell ref="L11:R11"/>
    <mergeCell ref="B13:G13"/>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8561AA-D48E-489F-9464-2766EB868F0B}">
  <dimension ref="A4:U38"/>
  <sheetViews>
    <sheetView zoomScaleNormal="100" workbookViewId="0">
      <selection activeCell="C19" sqref="C19"/>
    </sheetView>
  </sheetViews>
  <sheetFormatPr defaultColWidth="10.58203125" defaultRowHeight="15.5" x14ac:dyDescent="0.35"/>
  <cols>
    <col min="1" max="1" width="1.33203125" style="8" bestFit="1" customWidth="1"/>
    <col min="2" max="2" width="20.75" style="8" customWidth="1"/>
    <col min="3" max="4" width="10.25" style="8" bestFit="1" customWidth="1"/>
    <col min="5" max="7" width="11.75" style="8" bestFit="1" customWidth="1"/>
    <col min="8" max="8" width="12.08203125" style="8" bestFit="1" customWidth="1"/>
    <col min="9" max="10" width="12.75" style="8" bestFit="1" customWidth="1"/>
    <col min="11" max="11" width="16.08203125" style="8" bestFit="1" customWidth="1"/>
    <col min="12" max="12" width="15.08203125" style="8" bestFit="1" customWidth="1"/>
    <col min="13" max="14" width="10.58203125" style="8"/>
    <col min="15" max="15" width="18" style="8" bestFit="1" customWidth="1"/>
    <col min="16" max="16" width="12" style="8" bestFit="1" customWidth="1"/>
    <col min="17" max="17" width="16.5" style="8" bestFit="1" customWidth="1"/>
    <col min="18" max="19" width="15.58203125" style="8" bestFit="1" customWidth="1"/>
    <col min="20" max="20" width="12.5" style="8" bestFit="1" customWidth="1"/>
    <col min="21" max="21" width="13.08203125" style="8" bestFit="1" customWidth="1"/>
    <col min="22" max="16384" width="10.58203125" style="8"/>
  </cols>
  <sheetData>
    <row r="4" spans="1:21" x14ac:dyDescent="0.35">
      <c r="B4" s="72" t="s">
        <v>7</v>
      </c>
      <c r="C4" s="74" t="s">
        <v>33</v>
      </c>
      <c r="D4" s="75"/>
      <c r="E4" s="75"/>
      <c r="F4" s="76"/>
      <c r="G4" s="74" t="s">
        <v>34</v>
      </c>
      <c r="H4" s="75"/>
      <c r="I4" s="75"/>
      <c r="J4" s="76"/>
    </row>
    <row r="5" spans="1:21" ht="22" customHeight="1" x14ac:dyDescent="0.35">
      <c r="B5" s="73"/>
      <c r="C5" s="6" t="s">
        <v>12</v>
      </c>
      <c r="D5" s="5" t="s">
        <v>13</v>
      </c>
      <c r="E5" s="5" t="s">
        <v>14</v>
      </c>
      <c r="F5" s="5" t="s">
        <v>15</v>
      </c>
      <c r="G5" s="6" t="s">
        <v>12</v>
      </c>
      <c r="H5" s="5" t="s">
        <v>13</v>
      </c>
      <c r="I5" s="5" t="s">
        <v>14</v>
      </c>
      <c r="J5" s="5" t="s">
        <v>15</v>
      </c>
      <c r="P5" s="19"/>
      <c r="Q5" s="19"/>
      <c r="R5" s="19"/>
      <c r="S5" s="19"/>
      <c r="T5" s="19"/>
      <c r="U5" s="19"/>
    </row>
    <row r="6" spans="1:21" x14ac:dyDescent="0.35">
      <c r="B6" s="80" t="s">
        <v>9</v>
      </c>
      <c r="C6" s="81"/>
      <c r="D6" s="81"/>
      <c r="E6" s="81"/>
      <c r="F6" s="81"/>
      <c r="G6" s="83"/>
      <c r="H6" s="83"/>
      <c r="I6" s="83"/>
      <c r="J6" s="84"/>
      <c r="O6" s="68"/>
      <c r="P6" s="68"/>
      <c r="Q6" s="68"/>
      <c r="R6" s="68"/>
      <c r="S6" s="68"/>
      <c r="T6" s="68"/>
      <c r="U6" s="68"/>
    </row>
    <row r="7" spans="1:21" x14ac:dyDescent="0.35">
      <c r="B7" s="1" t="s">
        <v>11</v>
      </c>
      <c r="C7" s="4">
        <f>'S U Annual'!$C$7/4</f>
        <v>0</v>
      </c>
      <c r="D7" s="4">
        <f>'S U Annual'!$C$7/4</f>
        <v>0</v>
      </c>
      <c r="E7" s="4">
        <f>'S U Annual'!$C$7/4</f>
        <v>0</v>
      </c>
      <c r="F7" s="4">
        <f>'S U Annual'!$C$7/4</f>
        <v>0</v>
      </c>
      <c r="G7" s="4">
        <f>'S U Annual'!$D$7/4</f>
        <v>0</v>
      </c>
      <c r="H7" s="4">
        <f>'S U Annual'!$D$7/4</f>
        <v>0</v>
      </c>
      <c r="I7" s="4">
        <f>'S U Annual'!$D$7/4</f>
        <v>0</v>
      </c>
      <c r="J7" s="4">
        <f>'S U Annual'!$D$7/4</f>
        <v>0</v>
      </c>
      <c r="O7" s="19"/>
      <c r="P7" s="20"/>
      <c r="Q7" s="20"/>
      <c r="R7" s="20"/>
      <c r="S7" s="20"/>
      <c r="T7" s="20"/>
      <c r="U7" s="20"/>
    </row>
    <row r="8" spans="1:21" x14ac:dyDescent="0.35">
      <c r="B8" s="3" t="s">
        <v>16</v>
      </c>
      <c r="C8" s="4">
        <f>'S U Annual'!$C$8/4</f>
        <v>0</v>
      </c>
      <c r="D8" s="4">
        <f>'S U Annual'!$C$8/4</f>
        <v>0</v>
      </c>
      <c r="E8" s="4">
        <f>'S U Annual'!$C$8/4</f>
        <v>0</v>
      </c>
      <c r="F8" s="4">
        <f>'S U Annual'!$C$8/4</f>
        <v>0</v>
      </c>
      <c r="G8" s="4">
        <f>'S U Annual'!$D$8/4</f>
        <v>-450.00000000000006</v>
      </c>
      <c r="H8" s="4">
        <f>'S U Annual'!$D$8/4</f>
        <v>-450.00000000000006</v>
      </c>
      <c r="I8" s="4">
        <f>'S U Annual'!$D$8/4</f>
        <v>-450.00000000000006</v>
      </c>
      <c r="J8" s="4">
        <f>'S U Annual'!$D$8/4</f>
        <v>-450.00000000000006</v>
      </c>
      <c r="O8" s="19"/>
      <c r="P8" s="20"/>
      <c r="Q8" s="20"/>
      <c r="R8" s="20"/>
      <c r="S8" s="20"/>
      <c r="T8" s="20"/>
      <c r="U8" s="20"/>
    </row>
    <row r="9" spans="1:21" x14ac:dyDescent="0.35">
      <c r="B9" s="2" t="s">
        <v>2</v>
      </c>
      <c r="C9" s="4">
        <f>'S U Annual'!$C$9/4</f>
        <v>62500</v>
      </c>
      <c r="D9" s="4">
        <f>'S U Annual'!$C$9/4</f>
        <v>62500</v>
      </c>
      <c r="E9" s="4">
        <f>'S U Annual'!$C$9/4</f>
        <v>62500</v>
      </c>
      <c r="F9" s="4">
        <f>'S U Annual'!$C$9/4</f>
        <v>62500</v>
      </c>
      <c r="G9" s="4">
        <f>'S U Annual'!$D$9/4</f>
        <v>125000</v>
      </c>
      <c r="H9" s="4">
        <f>'S U Annual'!$D$9/4</f>
        <v>125000</v>
      </c>
      <c r="I9" s="4">
        <f>'S U Annual'!$D$9/4</f>
        <v>125000</v>
      </c>
      <c r="J9" s="4">
        <f>'S U Annual'!$D$9/4</f>
        <v>125000</v>
      </c>
      <c r="O9" s="19"/>
      <c r="P9" s="20"/>
      <c r="Q9" s="20"/>
      <c r="R9" s="20"/>
      <c r="S9" s="20"/>
      <c r="T9" s="20"/>
      <c r="U9" s="20"/>
    </row>
    <row r="10" spans="1:21" x14ac:dyDescent="0.35">
      <c r="B10" s="2" t="s">
        <v>24</v>
      </c>
      <c r="C10" s="4">
        <f>'S U Annual'!$C$10/4</f>
        <v>0</v>
      </c>
      <c r="D10" s="4">
        <f>'S U Annual'!$C$10/4</f>
        <v>0</v>
      </c>
      <c r="E10" s="4">
        <f>'S U Annual'!$C$10/4</f>
        <v>0</v>
      </c>
      <c r="F10" s="4">
        <f>'S U Annual'!$C$10/4</f>
        <v>0</v>
      </c>
      <c r="G10" s="4">
        <f>'S U Annual'!$D$10/4</f>
        <v>0</v>
      </c>
      <c r="H10" s="4">
        <f>'S U Annual'!$D$10/4</f>
        <v>0</v>
      </c>
      <c r="I10" s="4">
        <f>'S U Annual'!$D$10/4</f>
        <v>0</v>
      </c>
      <c r="J10" s="4">
        <f>'S U Annual'!$D$10/4</f>
        <v>0</v>
      </c>
      <c r="O10" s="19"/>
      <c r="P10" s="20"/>
      <c r="Q10" s="20"/>
      <c r="R10" s="20"/>
      <c r="S10" s="20"/>
      <c r="T10" s="20"/>
      <c r="U10" s="20"/>
    </row>
    <row r="11" spans="1:21" x14ac:dyDescent="0.35">
      <c r="A11" s="8" t="s">
        <v>10</v>
      </c>
      <c r="B11" s="2" t="s">
        <v>21</v>
      </c>
      <c r="C11" s="13">
        <v>0</v>
      </c>
      <c r="D11" s="13">
        <v>125000</v>
      </c>
      <c r="E11" s="13">
        <f>'S U Annual'!$C$11/4</f>
        <v>125000</v>
      </c>
      <c r="F11" s="13">
        <f>'S U Annual'!$C$11/4</f>
        <v>125000</v>
      </c>
      <c r="G11" s="13">
        <f>'S U Annual'!$D$11/4+F11</f>
        <v>250000</v>
      </c>
      <c r="H11" s="13">
        <f>'S U Annual'!$D$11/4</f>
        <v>125000</v>
      </c>
      <c r="I11" s="13">
        <f>'S U Annual'!$D$11/4</f>
        <v>125000</v>
      </c>
      <c r="J11" s="13">
        <f>'S U Annual'!$D$11/4</f>
        <v>125000</v>
      </c>
      <c r="O11" s="68"/>
      <c r="P11" s="68"/>
      <c r="Q11" s="68"/>
      <c r="R11" s="68"/>
      <c r="S11" s="68"/>
      <c r="T11" s="68"/>
      <c r="U11" s="68"/>
    </row>
    <row r="12" spans="1:21" x14ac:dyDescent="0.35">
      <c r="B12" s="9" t="s">
        <v>6</v>
      </c>
      <c r="C12" s="10">
        <f t="shared" ref="C12:J12" si="0">SUM(C7:C11)</f>
        <v>62500</v>
      </c>
      <c r="D12" s="10">
        <f t="shared" si="0"/>
        <v>187500</v>
      </c>
      <c r="E12" s="10">
        <f t="shared" si="0"/>
        <v>187500</v>
      </c>
      <c r="F12" s="10">
        <f t="shared" si="0"/>
        <v>187500</v>
      </c>
      <c r="G12" s="10">
        <f t="shared" ref="G12" si="1">SUM(G7:G11)</f>
        <v>374550</v>
      </c>
      <c r="H12" s="21">
        <f t="shared" si="0"/>
        <v>249550</v>
      </c>
      <c r="I12" s="21">
        <f t="shared" si="0"/>
        <v>249550</v>
      </c>
      <c r="J12" s="21">
        <f t="shared" si="0"/>
        <v>249550</v>
      </c>
      <c r="O12" s="19"/>
      <c r="P12" s="20"/>
      <c r="Q12" s="20"/>
      <c r="R12" s="20"/>
      <c r="S12" s="20"/>
      <c r="T12" s="20"/>
      <c r="U12" s="20"/>
    </row>
    <row r="13" spans="1:21" x14ac:dyDescent="0.35">
      <c r="B13" s="77" t="s">
        <v>8</v>
      </c>
      <c r="C13" s="78"/>
      <c r="D13" s="78"/>
      <c r="E13" s="78"/>
      <c r="F13" s="78"/>
      <c r="G13" s="78"/>
      <c r="H13" s="78"/>
      <c r="I13" s="78"/>
      <c r="J13" s="79"/>
      <c r="O13" s="19"/>
      <c r="P13" s="20"/>
      <c r="Q13" s="20"/>
      <c r="R13" s="20"/>
      <c r="S13" s="20"/>
      <c r="T13" s="20"/>
      <c r="U13" s="20"/>
    </row>
    <row r="14" spans="1:21" x14ac:dyDescent="0.35">
      <c r="B14" s="2" t="s">
        <v>5</v>
      </c>
      <c r="C14" s="57">
        <f>'S U Annual'!$C$14/4</f>
        <v>41500</v>
      </c>
      <c r="D14" s="57">
        <f>'S U Annual'!$C$14/4</f>
        <v>41500</v>
      </c>
      <c r="E14" s="57">
        <f>'S U Annual'!$C$14/4</f>
        <v>41500</v>
      </c>
      <c r="F14" s="57">
        <f>'S U Annual'!$C$14/4</f>
        <v>41500</v>
      </c>
      <c r="G14" s="57">
        <f>'S U Annual'!$D$14/4</f>
        <v>105825</v>
      </c>
      <c r="H14" s="57">
        <f>'S U Annual'!$D$14/4</f>
        <v>105825</v>
      </c>
      <c r="I14" s="57">
        <f>'S U Annual'!$D$14/4</f>
        <v>105825</v>
      </c>
      <c r="J14" s="57">
        <f>'S U Annual'!$D$14/4</f>
        <v>105825</v>
      </c>
      <c r="O14" s="19"/>
      <c r="P14" s="20"/>
      <c r="Q14" s="20"/>
      <c r="R14" s="20"/>
      <c r="S14" s="20"/>
      <c r="T14" s="20"/>
      <c r="U14" s="20"/>
    </row>
    <row r="15" spans="1:21" x14ac:dyDescent="0.35">
      <c r="B15" s="2" t="s">
        <v>17</v>
      </c>
      <c r="C15" s="57">
        <f>'S U Annual'!$C$15/4</f>
        <v>37350</v>
      </c>
      <c r="D15" s="57">
        <f>'S U Annual'!$C$15/4</f>
        <v>37350</v>
      </c>
      <c r="E15" s="57">
        <f>'S U Annual'!$C$15/4</f>
        <v>37350</v>
      </c>
      <c r="F15" s="57">
        <f>'S U Annual'!$C$15/4</f>
        <v>37350</v>
      </c>
      <c r="G15" s="57">
        <f>'S U Annual'!$D$15/4</f>
        <v>44820</v>
      </c>
      <c r="H15" s="57">
        <f>'S U Annual'!$D$15/4</f>
        <v>44820</v>
      </c>
      <c r="I15" s="57">
        <f>'S U Annual'!$D$15/4</f>
        <v>44820</v>
      </c>
      <c r="J15" s="57">
        <f>'S U Annual'!$D$15/4</f>
        <v>44820</v>
      </c>
      <c r="O15" s="19"/>
      <c r="P15" s="20"/>
      <c r="Q15" s="20"/>
      <c r="R15" s="20"/>
      <c r="S15" s="20"/>
      <c r="T15" s="20"/>
      <c r="U15" s="20"/>
    </row>
    <row r="16" spans="1:21" x14ac:dyDescent="0.35">
      <c r="B16" s="2" t="s">
        <v>0</v>
      </c>
      <c r="C16" s="57">
        <f>'S U Annual'!$C$16/4</f>
        <v>62500</v>
      </c>
      <c r="D16" s="57">
        <f>'S U Annual'!$C$16/4</f>
        <v>62500</v>
      </c>
      <c r="E16" s="57">
        <f>'S U Annual'!$C$16/4</f>
        <v>62500</v>
      </c>
      <c r="F16" s="57">
        <f>'S U Annual'!$C$16/4</f>
        <v>62500</v>
      </c>
      <c r="G16" s="57">
        <f>'S U Annual'!$D$16/4</f>
        <v>62500</v>
      </c>
      <c r="H16" s="57">
        <f>'S U Annual'!$D$16/4</f>
        <v>62500</v>
      </c>
      <c r="I16" s="57">
        <f>'S U Annual'!$D$16/4</f>
        <v>62500</v>
      </c>
      <c r="J16" s="57">
        <f>'S U Annual'!$D$16/4</f>
        <v>62500</v>
      </c>
      <c r="O16" s="19"/>
      <c r="P16" s="20"/>
      <c r="Q16" s="20"/>
      <c r="R16" s="20"/>
      <c r="S16" s="20"/>
      <c r="T16" s="20"/>
      <c r="U16" s="20"/>
    </row>
    <row r="17" spans="2:21" x14ac:dyDescent="0.35">
      <c r="B17" s="11" t="s">
        <v>1</v>
      </c>
      <c r="C17" s="12">
        <f>SUM(C14:C16)</f>
        <v>141350</v>
      </c>
      <c r="D17" s="12">
        <f t="shared" ref="D17:F17" si="2">SUM(D14:D16)</f>
        <v>141350</v>
      </c>
      <c r="E17" s="12">
        <f t="shared" si="2"/>
        <v>141350</v>
      </c>
      <c r="F17" s="12">
        <f t="shared" si="2"/>
        <v>141350</v>
      </c>
      <c r="G17" s="12">
        <f>SUM(G14:G16)</f>
        <v>213145</v>
      </c>
      <c r="H17" s="12">
        <f t="shared" ref="H17" si="3">SUM(H14:H16)</f>
        <v>213145</v>
      </c>
      <c r="I17" s="12">
        <f t="shared" ref="I17" si="4">SUM(I14:I16)</f>
        <v>213145</v>
      </c>
      <c r="J17" s="14">
        <f t="shared" ref="J17" si="5">SUM(J14:J16)</f>
        <v>213145</v>
      </c>
      <c r="O17" s="19"/>
      <c r="P17" s="22"/>
      <c r="Q17" s="22"/>
      <c r="R17" s="22"/>
      <c r="S17" s="22"/>
      <c r="T17" s="22"/>
      <c r="U17" s="22"/>
    </row>
    <row r="18" spans="2:21" x14ac:dyDescent="0.35">
      <c r="B18" s="77" t="s">
        <v>3</v>
      </c>
      <c r="C18" s="78"/>
      <c r="D18" s="78"/>
      <c r="E18" s="78"/>
      <c r="F18" s="78"/>
      <c r="G18" s="78"/>
      <c r="H18" s="78"/>
      <c r="I18" s="78"/>
      <c r="J18" s="79"/>
      <c r="O18" s="19"/>
      <c r="P18" s="22"/>
      <c r="Q18" s="20"/>
      <c r="R18" s="20"/>
      <c r="S18" s="20"/>
      <c r="T18" s="20"/>
      <c r="U18" s="20"/>
    </row>
    <row r="19" spans="2:21" x14ac:dyDescent="0.35">
      <c r="B19" s="11" t="s">
        <v>3</v>
      </c>
      <c r="C19" s="14">
        <f>C12-C17</f>
        <v>-78850</v>
      </c>
      <c r="D19" s="14">
        <f t="shared" ref="D19:F19" si="6">D12-D17</f>
        <v>46150</v>
      </c>
      <c r="E19" s="14">
        <f t="shared" si="6"/>
        <v>46150</v>
      </c>
      <c r="F19" s="14">
        <f t="shared" si="6"/>
        <v>46150</v>
      </c>
      <c r="G19" s="14">
        <f>G12-G17</f>
        <v>161405</v>
      </c>
      <c r="H19" s="14">
        <f>H12-H17</f>
        <v>36405</v>
      </c>
      <c r="I19" s="14">
        <f>I12-I17</f>
        <v>36405</v>
      </c>
      <c r="J19" s="14">
        <f>J12-J17</f>
        <v>36405</v>
      </c>
      <c r="P19" s="22"/>
    </row>
    <row r="20" spans="2:21" x14ac:dyDescent="0.35">
      <c r="B20" s="9" t="s">
        <v>4</v>
      </c>
      <c r="C20" s="60">
        <f>C19</f>
        <v>-78850</v>
      </c>
      <c r="D20" s="14">
        <f>C20+D19</f>
        <v>-32700</v>
      </c>
      <c r="E20" s="14">
        <f t="shared" ref="E20:F20" si="7">D20+E19</f>
        <v>13450</v>
      </c>
      <c r="F20" s="14">
        <f t="shared" si="7"/>
        <v>59600</v>
      </c>
      <c r="G20" s="14">
        <f>+G19+F20</f>
        <v>221005</v>
      </c>
      <c r="H20" s="14">
        <f t="shared" ref="H20:J20" si="8">G20+H19</f>
        <v>257410</v>
      </c>
      <c r="I20" s="14">
        <f t="shared" si="8"/>
        <v>293815</v>
      </c>
      <c r="J20" s="14">
        <f t="shared" si="8"/>
        <v>330220</v>
      </c>
    </row>
    <row r="21" spans="2:21" x14ac:dyDescent="0.35">
      <c r="B21" s="80" t="s">
        <v>10</v>
      </c>
      <c r="C21" s="81"/>
      <c r="D21" s="81"/>
      <c r="E21" s="81"/>
      <c r="F21" s="81"/>
      <c r="G21" s="81"/>
      <c r="H21" s="81"/>
      <c r="I21" s="81"/>
      <c r="J21" s="82"/>
    </row>
    <row r="22" spans="2:21" x14ac:dyDescent="0.35">
      <c r="B22" s="23" t="s">
        <v>18</v>
      </c>
      <c r="C22" s="58"/>
      <c r="D22" s="58"/>
      <c r="E22" s="58"/>
      <c r="F22" s="58"/>
      <c r="G22" s="58"/>
      <c r="H22" s="58"/>
      <c r="I22" s="58"/>
      <c r="J22" s="24"/>
      <c r="N22" s="25" t="s">
        <v>19</v>
      </c>
    </row>
    <row r="23" spans="2:21" x14ac:dyDescent="0.35">
      <c r="B23" s="26" t="s">
        <v>22</v>
      </c>
      <c r="J23" s="27"/>
    </row>
    <row r="24" spans="2:21" x14ac:dyDescent="0.35">
      <c r="B24" s="26"/>
      <c r="J24" s="27"/>
    </row>
    <row r="25" spans="2:21" x14ac:dyDescent="0.35">
      <c r="B25" s="26"/>
      <c r="J25" s="27"/>
    </row>
    <row r="26" spans="2:21" x14ac:dyDescent="0.35">
      <c r="B26" s="28"/>
      <c r="C26" s="29"/>
      <c r="D26" s="29"/>
      <c r="E26" s="29"/>
      <c r="F26" s="29"/>
      <c r="G26" s="29"/>
      <c r="H26" s="29"/>
      <c r="I26" s="29"/>
      <c r="J26" s="30"/>
    </row>
    <row r="27" spans="2:21" x14ac:dyDescent="0.35">
      <c r="G27" s="59"/>
      <c r="H27" s="59"/>
      <c r="I27" s="59"/>
      <c r="J27" s="59"/>
    </row>
    <row r="31" spans="2:21" x14ac:dyDescent="0.35">
      <c r="G31" s="20"/>
      <c r="H31" s="20"/>
      <c r="I31" s="20"/>
      <c r="J31" s="20"/>
    </row>
    <row r="32" spans="2:21" x14ac:dyDescent="0.35">
      <c r="C32" s="22"/>
      <c r="D32" s="22"/>
      <c r="E32" s="22"/>
      <c r="F32" s="22"/>
      <c r="G32" s="22"/>
      <c r="H32" s="22"/>
      <c r="I32" s="22"/>
      <c r="J32" s="22"/>
    </row>
    <row r="33" spans="3:12" x14ac:dyDescent="0.35">
      <c r="C33" s="22"/>
      <c r="D33" s="22"/>
      <c r="E33" s="22"/>
      <c r="F33" s="22"/>
      <c r="G33" s="22"/>
      <c r="H33" s="22"/>
      <c r="I33" s="22"/>
      <c r="J33" s="22"/>
    </row>
    <row r="34" spans="3:12" x14ac:dyDescent="0.35">
      <c r="C34" s="31"/>
      <c r="D34" s="31"/>
      <c r="E34" s="31"/>
      <c r="F34" s="31"/>
      <c r="G34" s="31"/>
      <c r="H34" s="22"/>
      <c r="I34" s="22"/>
      <c r="J34" s="22"/>
    </row>
    <row r="35" spans="3:12" x14ac:dyDescent="0.35">
      <c r="C35" s="32"/>
      <c r="D35" s="32"/>
      <c r="E35" s="32"/>
      <c r="F35" s="32"/>
      <c r="G35" s="32"/>
      <c r="H35" s="32"/>
      <c r="I35" s="33"/>
      <c r="J35" s="33"/>
      <c r="K35" s="33"/>
    </row>
    <row r="36" spans="3:12" x14ac:dyDescent="0.35">
      <c r="I36" s="20"/>
      <c r="J36" s="20"/>
      <c r="K36" s="20"/>
    </row>
    <row r="37" spans="3:12" x14ac:dyDescent="0.35">
      <c r="J37" s="20"/>
      <c r="K37" s="20"/>
      <c r="L37" s="20"/>
    </row>
    <row r="38" spans="3:12" x14ac:dyDescent="0.35">
      <c r="C38" s="22"/>
      <c r="D38" s="22"/>
      <c r="E38" s="22"/>
      <c r="F38" s="22"/>
      <c r="G38" s="22"/>
      <c r="H38" s="22"/>
      <c r="I38" s="22"/>
      <c r="J38" s="22"/>
      <c r="K38" s="22"/>
      <c r="L38" s="22"/>
    </row>
  </sheetData>
  <mergeCells count="9">
    <mergeCell ref="O11:U11"/>
    <mergeCell ref="B13:J13"/>
    <mergeCell ref="B18:J18"/>
    <mergeCell ref="B21:J21"/>
    <mergeCell ref="B4:B5"/>
    <mergeCell ref="C4:F4"/>
    <mergeCell ref="G4:J4"/>
    <mergeCell ref="B6:J6"/>
    <mergeCell ref="O6:U6"/>
  </mergeCells>
  <pageMargins left="0.7" right="0.7" top="0.75" bottom="0.75" header="0.3" footer="0.3"/>
  <pageSetup orientation="portrait" r:id="rId1"/>
  <ignoredErrors>
    <ignoredError sqref="G20" 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D7ADD1-B9A3-480E-894E-C7D1690CCEBB}">
  <dimension ref="A4:AH54"/>
  <sheetViews>
    <sheetView topLeftCell="A10" zoomScale="110" zoomScaleNormal="110" workbookViewId="0">
      <selection activeCell="F9" sqref="F9"/>
    </sheetView>
  </sheetViews>
  <sheetFormatPr defaultColWidth="10.6640625" defaultRowHeight="15.5" x14ac:dyDescent="0.35"/>
  <cols>
    <col min="1" max="1" width="10.6640625" style="8"/>
    <col min="2" max="2" width="28.08203125" style="8" customWidth="1"/>
    <col min="3" max="3" width="13.33203125" style="8" bestFit="1" customWidth="1"/>
    <col min="4" max="4" width="11.75" style="8" bestFit="1" customWidth="1"/>
    <col min="5" max="5" width="14" style="8" bestFit="1" customWidth="1"/>
    <col min="6" max="7" width="15" style="8" bestFit="1" customWidth="1"/>
    <col min="8" max="8" width="15" style="8" customWidth="1"/>
    <col min="9" max="9" width="16" style="8" customWidth="1"/>
    <col min="10" max="10" width="8.75" style="8" bestFit="1" customWidth="1"/>
    <col min="11" max="13" width="6.25" style="8" bestFit="1" customWidth="1"/>
    <col min="14" max="14" width="7.58203125" style="8" bestFit="1" customWidth="1"/>
    <col min="15" max="15" width="16.5" style="8" bestFit="1" customWidth="1"/>
    <col min="16" max="17" width="15.6640625" style="8" bestFit="1" customWidth="1"/>
    <col min="18" max="16384" width="10.6640625" style="8"/>
  </cols>
  <sheetData>
    <row r="4" spans="1:19" ht="15.5" customHeight="1" x14ac:dyDescent="0.35">
      <c r="B4" s="72" t="s">
        <v>7</v>
      </c>
      <c r="C4" s="18" t="s">
        <v>43</v>
      </c>
      <c r="D4" s="56" t="s">
        <v>44</v>
      </c>
      <c r="E4" s="74" t="s">
        <v>23</v>
      </c>
      <c r="F4" s="75"/>
      <c r="G4" s="76"/>
      <c r="H4" s="97"/>
    </row>
    <row r="5" spans="1:19" ht="15.5" customHeight="1" x14ac:dyDescent="0.35">
      <c r="B5" s="73"/>
      <c r="C5" s="34" t="s">
        <v>33</v>
      </c>
      <c r="D5" s="6" t="s">
        <v>34</v>
      </c>
      <c r="E5" s="7" t="s">
        <v>35</v>
      </c>
      <c r="F5" s="6" t="s">
        <v>36</v>
      </c>
      <c r="G5" s="85" t="s">
        <v>37</v>
      </c>
      <c r="H5" s="97"/>
      <c r="N5" s="19"/>
      <c r="O5" s="19"/>
      <c r="P5" s="19"/>
      <c r="Q5" s="19"/>
      <c r="R5" s="19"/>
      <c r="S5" s="19"/>
    </row>
    <row r="6" spans="1:19" x14ac:dyDescent="0.35">
      <c r="B6" s="69" t="s">
        <v>9</v>
      </c>
      <c r="C6" s="70"/>
      <c r="D6" s="70"/>
      <c r="E6" s="70"/>
      <c r="F6" s="70"/>
      <c r="G6" s="71"/>
      <c r="H6" s="101"/>
      <c r="M6" s="68"/>
      <c r="N6" s="68"/>
      <c r="O6" s="68"/>
      <c r="P6" s="68"/>
      <c r="Q6" s="68"/>
      <c r="R6" s="68"/>
      <c r="S6" s="68"/>
    </row>
    <row r="7" spans="1:19" x14ac:dyDescent="0.35">
      <c r="B7" s="1" t="s">
        <v>38</v>
      </c>
      <c r="C7" s="4"/>
      <c r="D7" s="96"/>
      <c r="E7" s="22">
        <f>E27*E33</f>
        <v>168000</v>
      </c>
      <c r="F7" s="4">
        <f>F27*F33</f>
        <v>2793000</v>
      </c>
      <c r="G7" s="4">
        <f>G27*G33</f>
        <v>8113000</v>
      </c>
      <c r="H7" s="22"/>
      <c r="M7" s="19"/>
      <c r="N7" s="20"/>
      <c r="O7" s="20"/>
      <c r="P7" s="20"/>
      <c r="Q7" s="20"/>
      <c r="R7" s="20"/>
      <c r="S7" s="20"/>
    </row>
    <row r="8" spans="1:19" x14ac:dyDescent="0.35">
      <c r="B8" s="3" t="s">
        <v>16</v>
      </c>
      <c r="C8" s="36"/>
      <c r="E8" s="36">
        <f>-D27*D30*D31</f>
        <v>-25200.000000000004</v>
      </c>
      <c r="F8" s="36">
        <f>-E27*E30*E31</f>
        <v>-34020.000000000007</v>
      </c>
      <c r="G8" s="36">
        <f>-F27*F30*F31</f>
        <v>-428652.00000000012</v>
      </c>
      <c r="H8" s="22"/>
      <c r="I8" s="22"/>
      <c r="M8" s="19"/>
      <c r="N8" s="20"/>
      <c r="O8" s="20"/>
      <c r="P8" s="20"/>
      <c r="Q8" s="20"/>
      <c r="R8" s="20"/>
      <c r="S8" s="20"/>
    </row>
    <row r="9" spans="1:19" x14ac:dyDescent="0.35">
      <c r="B9" s="2" t="s">
        <v>2</v>
      </c>
      <c r="C9" s="36">
        <v>250000</v>
      </c>
      <c r="D9" s="37">
        <v>500000</v>
      </c>
      <c r="E9" s="22">
        <v>5000000</v>
      </c>
      <c r="F9" s="36">
        <v>0</v>
      </c>
      <c r="G9" s="36">
        <v>0</v>
      </c>
      <c r="H9" s="22"/>
      <c r="M9" s="19"/>
      <c r="N9" s="20"/>
      <c r="O9" s="20"/>
      <c r="P9" s="20"/>
      <c r="Q9" s="20"/>
      <c r="R9" s="20"/>
      <c r="S9" s="20"/>
    </row>
    <row r="10" spans="1:19" x14ac:dyDescent="0.35">
      <c r="B10" s="2" t="s">
        <v>24</v>
      </c>
      <c r="C10" s="36"/>
      <c r="D10" s="22"/>
      <c r="E10" s="35">
        <v>1000000</v>
      </c>
      <c r="F10" s="35">
        <v>1000000</v>
      </c>
      <c r="G10" s="36">
        <v>1000000</v>
      </c>
      <c r="H10" s="22"/>
      <c r="M10" s="19"/>
      <c r="N10" s="20"/>
      <c r="O10" s="20"/>
      <c r="P10" s="20"/>
      <c r="Q10" s="20"/>
      <c r="R10" s="20"/>
      <c r="S10" s="20"/>
    </row>
    <row r="11" spans="1:19" x14ac:dyDescent="0.35">
      <c r="B11" s="2" t="s">
        <v>25</v>
      </c>
      <c r="C11" s="36"/>
      <c r="D11" s="22"/>
      <c r="E11" s="35"/>
      <c r="F11" s="35">
        <f>F29*C35*C39</f>
        <v>1500000</v>
      </c>
      <c r="G11" s="36">
        <f>G29*C39*C35</f>
        <v>3000000</v>
      </c>
      <c r="H11" s="22"/>
      <c r="M11" s="19"/>
      <c r="N11" s="38"/>
      <c r="O11" s="38"/>
      <c r="P11" s="38"/>
      <c r="Q11" s="38"/>
      <c r="R11" s="38"/>
      <c r="S11" s="38"/>
    </row>
    <row r="12" spans="1:19" x14ac:dyDescent="0.35">
      <c r="A12" s="8" t="s">
        <v>10</v>
      </c>
      <c r="B12" s="2" t="s">
        <v>26</v>
      </c>
      <c r="C12" s="36">
        <v>500000</v>
      </c>
      <c r="D12" s="37">
        <v>750000</v>
      </c>
      <c r="E12" s="22">
        <v>2500000</v>
      </c>
      <c r="F12" s="36">
        <v>0</v>
      </c>
      <c r="G12" s="36">
        <v>0</v>
      </c>
      <c r="H12" s="22"/>
      <c r="M12" s="68"/>
      <c r="N12" s="68"/>
      <c r="O12" s="68"/>
      <c r="P12" s="68"/>
      <c r="Q12" s="68"/>
      <c r="R12" s="68"/>
      <c r="S12" s="68"/>
    </row>
    <row r="13" spans="1:19" x14ac:dyDescent="0.35">
      <c r="B13" s="9" t="s">
        <v>6</v>
      </c>
      <c r="C13" s="10">
        <f>SUM(C7:C12)</f>
        <v>750000</v>
      </c>
      <c r="D13" s="21">
        <f t="shared" ref="D13:G13" si="0">SUM(D7:D12)</f>
        <v>1250000</v>
      </c>
      <c r="E13" s="10">
        <f t="shared" si="0"/>
        <v>8642800</v>
      </c>
      <c r="F13" s="10">
        <f t="shared" si="0"/>
        <v>5258980</v>
      </c>
      <c r="G13" s="10">
        <f t="shared" si="0"/>
        <v>11684348</v>
      </c>
      <c r="H13" s="22"/>
      <c r="M13" s="19"/>
      <c r="N13" s="20"/>
      <c r="O13" s="20"/>
      <c r="P13" s="20"/>
      <c r="Q13" s="20"/>
      <c r="R13" s="20"/>
      <c r="S13" s="20"/>
    </row>
    <row r="14" spans="1:19" x14ac:dyDescent="0.35">
      <c r="B14" s="65" t="s">
        <v>8</v>
      </c>
      <c r="C14" s="66"/>
      <c r="D14" s="66"/>
      <c r="E14" s="66"/>
      <c r="F14" s="66"/>
      <c r="G14" s="67"/>
      <c r="H14" s="97"/>
      <c r="M14" s="19"/>
      <c r="N14" s="20"/>
      <c r="O14" s="20"/>
      <c r="P14" s="20"/>
      <c r="Q14" s="20"/>
      <c r="R14" s="20"/>
      <c r="S14" s="20"/>
    </row>
    <row r="15" spans="1:19" x14ac:dyDescent="0.35">
      <c r="B15" s="2" t="s">
        <v>5</v>
      </c>
      <c r="C15" s="35">
        <f>C26*C25</f>
        <v>166000</v>
      </c>
      <c r="D15" s="36">
        <f>D25*D26</f>
        <v>423300</v>
      </c>
      <c r="E15" s="22">
        <f>E25*E26</f>
        <v>863532</v>
      </c>
      <c r="F15" s="36">
        <f>F25*F26</f>
        <v>1321203.96</v>
      </c>
      <c r="G15" s="4">
        <f>G25*G26</f>
        <v>1796837.3855999999</v>
      </c>
      <c r="H15" s="22"/>
      <c r="M15" s="19"/>
      <c r="N15" s="20"/>
      <c r="O15" s="20"/>
      <c r="P15" s="20"/>
      <c r="Q15" s="20"/>
      <c r="R15" s="20"/>
      <c r="S15" s="20"/>
    </row>
    <row r="16" spans="1:19" x14ac:dyDescent="0.35">
      <c r="B16" s="2" t="s">
        <v>17</v>
      </c>
      <c r="C16" s="35">
        <f>124500*1.2</f>
        <v>149400</v>
      </c>
      <c r="D16" s="36">
        <f>C16*1.2</f>
        <v>179280</v>
      </c>
      <c r="E16" s="22">
        <f>D16*1.3</f>
        <v>233064</v>
      </c>
      <c r="F16" s="36">
        <f>E16*1.2</f>
        <v>279676.79999999999</v>
      </c>
      <c r="G16" s="36">
        <f>F16*1.5</f>
        <v>419515.19999999995</v>
      </c>
      <c r="H16" s="22"/>
      <c r="M16" s="19"/>
      <c r="N16" s="20"/>
      <c r="O16" s="20"/>
      <c r="P16" s="20"/>
      <c r="Q16" s="20"/>
      <c r="R16" s="20"/>
      <c r="S16" s="20"/>
    </row>
    <row r="17" spans="2:34" x14ac:dyDescent="0.35">
      <c r="B17" s="2" t="s">
        <v>0</v>
      </c>
      <c r="C17" s="35">
        <v>250000</v>
      </c>
      <c r="D17" s="36">
        <v>250000</v>
      </c>
      <c r="E17" s="22">
        <v>4000000</v>
      </c>
      <c r="F17" s="36">
        <v>2000000</v>
      </c>
      <c r="G17" s="36">
        <v>3000000</v>
      </c>
      <c r="H17" s="22"/>
      <c r="M17" s="19"/>
      <c r="N17" s="20"/>
      <c r="O17" s="20"/>
      <c r="P17" s="20"/>
      <c r="Q17" s="20"/>
      <c r="R17" s="20"/>
      <c r="S17" s="20"/>
    </row>
    <row r="18" spans="2:34" x14ac:dyDescent="0.35">
      <c r="B18" s="2" t="s">
        <v>27</v>
      </c>
      <c r="C18" s="35">
        <v>0</v>
      </c>
      <c r="D18" s="35">
        <f>E53</f>
        <v>0</v>
      </c>
      <c r="E18" s="35">
        <f>C38</f>
        <v>324000</v>
      </c>
      <c r="F18" s="35">
        <f>C38+C38</f>
        <v>648000</v>
      </c>
      <c r="G18" s="36">
        <f>C38+C38+C38</f>
        <v>972000</v>
      </c>
      <c r="H18" s="22"/>
      <c r="J18" s="19"/>
      <c r="K18" s="19"/>
      <c r="L18" s="19"/>
      <c r="M18" s="19"/>
      <c r="N18" s="38"/>
      <c r="O18" s="20"/>
      <c r="P18" s="20"/>
      <c r="Q18" s="20"/>
      <c r="R18" s="20"/>
      <c r="S18" s="20"/>
    </row>
    <row r="19" spans="2:34" x14ac:dyDescent="0.35">
      <c r="B19" s="2" t="s">
        <v>56</v>
      </c>
      <c r="C19" s="35"/>
      <c r="D19" s="35">
        <f>D28*C34</f>
        <v>500000</v>
      </c>
      <c r="E19" s="35">
        <f>E28*C34+C35*C39</f>
        <v>2000000</v>
      </c>
      <c r="F19" s="35">
        <f>C35*C39</f>
        <v>1500000</v>
      </c>
      <c r="G19" s="36">
        <v>0</v>
      </c>
      <c r="H19" s="22"/>
      <c r="J19" s="20"/>
      <c r="M19" s="19"/>
      <c r="N19" s="38"/>
      <c r="O19" s="38"/>
      <c r="P19" s="38"/>
      <c r="Q19" s="38"/>
      <c r="R19" s="38"/>
      <c r="S19" s="38"/>
    </row>
    <row r="20" spans="2:34" x14ac:dyDescent="0.35">
      <c r="B20" s="11" t="s">
        <v>1</v>
      </c>
      <c r="C20" s="12">
        <f>SUM(C15:C19)</f>
        <v>565400</v>
      </c>
      <c r="D20" s="12">
        <f>SUM(D15:D19)</f>
        <v>1352580</v>
      </c>
      <c r="E20" s="12">
        <f>SUM(E15:E19)</f>
        <v>7420596</v>
      </c>
      <c r="F20" s="12">
        <f>SUM(F15:F19)</f>
        <v>5748880.7599999998</v>
      </c>
      <c r="G20" s="86">
        <f>SUM(G15:G19)</f>
        <v>6188352.5855999999</v>
      </c>
      <c r="H20" s="22"/>
      <c r="J20" s="20"/>
      <c r="M20" s="19"/>
    </row>
    <row r="21" spans="2:34" x14ac:dyDescent="0.35">
      <c r="B21" s="65" t="s">
        <v>3</v>
      </c>
      <c r="C21" s="66"/>
      <c r="D21" s="66"/>
      <c r="E21" s="66"/>
      <c r="F21" s="66"/>
      <c r="G21" s="67"/>
      <c r="H21" s="97"/>
      <c r="J21" s="20"/>
      <c r="M21" s="19"/>
    </row>
    <row r="22" spans="2:34" x14ac:dyDescent="0.35">
      <c r="B22" s="11" t="s">
        <v>3</v>
      </c>
      <c r="C22" s="12">
        <f>C13-C20</f>
        <v>184600</v>
      </c>
      <c r="D22" s="12">
        <f>D13-D20</f>
        <v>-102580</v>
      </c>
      <c r="E22" s="12">
        <f>E13-E20</f>
        <v>1222204</v>
      </c>
      <c r="F22" s="12">
        <f>F13-F20</f>
        <v>-489900.75999999978</v>
      </c>
      <c r="G22" s="86">
        <f>G13-G20</f>
        <v>5495995.4144000001</v>
      </c>
      <c r="H22" s="22"/>
      <c r="J22" s="20"/>
      <c r="M22" s="19"/>
    </row>
    <row r="23" spans="2:34" x14ac:dyDescent="0.35">
      <c r="B23" s="9" t="s">
        <v>4</v>
      </c>
      <c r="C23" s="39">
        <f>C22</f>
        <v>184600</v>
      </c>
      <c r="D23" s="10">
        <f t="shared" ref="D23:G23" si="1">C23+D22</f>
        <v>82020</v>
      </c>
      <c r="E23" s="40">
        <f t="shared" si="1"/>
        <v>1304224</v>
      </c>
      <c r="F23" s="10">
        <f t="shared" si="1"/>
        <v>814323.24000000022</v>
      </c>
      <c r="G23" s="21">
        <f t="shared" si="1"/>
        <v>6310318.6544000003</v>
      </c>
      <c r="H23" s="22"/>
      <c r="J23" s="20"/>
      <c r="M23" s="19"/>
    </row>
    <row r="24" spans="2:34" x14ac:dyDescent="0.35">
      <c r="B24" s="69" t="s">
        <v>20</v>
      </c>
      <c r="C24" s="70"/>
      <c r="D24" s="70"/>
      <c r="E24" s="70"/>
      <c r="F24" s="70"/>
      <c r="G24" s="71"/>
      <c r="H24" s="101"/>
      <c r="J24" s="20"/>
    </row>
    <row r="25" spans="2:34" x14ac:dyDescent="0.35">
      <c r="B25" s="2" t="s">
        <v>28</v>
      </c>
      <c r="C25" s="26">
        <v>2</v>
      </c>
      <c r="D25" s="17">
        <v>5</v>
      </c>
      <c r="E25" s="87">
        <v>10</v>
      </c>
      <c r="F25" s="15">
        <v>15</v>
      </c>
      <c r="G25" s="27">
        <v>20</v>
      </c>
      <c r="H25" s="87"/>
      <c r="J25" s="20"/>
    </row>
    <row r="26" spans="2:34" x14ac:dyDescent="0.35">
      <c r="B26" s="2" t="s">
        <v>29</v>
      </c>
      <c r="C26" s="35">
        <v>83000</v>
      </c>
      <c r="D26" s="35">
        <f>1.02*C26</f>
        <v>84660</v>
      </c>
      <c r="E26" s="35">
        <f t="shared" ref="E26:G26" si="2">1.02*D26</f>
        <v>86353.2</v>
      </c>
      <c r="F26" s="35">
        <f t="shared" si="2"/>
        <v>88080.263999999996</v>
      </c>
      <c r="G26" s="36">
        <f t="shared" si="2"/>
        <v>89841.869279999999</v>
      </c>
      <c r="H26" s="22"/>
      <c r="J26" s="20"/>
    </row>
    <row r="27" spans="2:34" x14ac:dyDescent="0.35">
      <c r="B27" s="2" t="s">
        <v>45</v>
      </c>
      <c r="C27" s="41">
        <v>0</v>
      </c>
      <c r="D27" s="42">
        <f>((350*D28*50)+(350*2000*D29))</f>
        <v>17500</v>
      </c>
      <c r="E27" s="41">
        <f>(350*E28*50)+(350*2000*E29)+D27</f>
        <v>35000</v>
      </c>
      <c r="F27" s="41">
        <f>(350*F28*50)+(350*2000*F29)+E27</f>
        <v>735000</v>
      </c>
      <c r="G27" s="42">
        <f>(350*G28*50)+(350*2000*G29)+F27</f>
        <v>2135000</v>
      </c>
      <c r="H27" s="98"/>
      <c r="J27" s="20"/>
      <c r="O27" s="43"/>
      <c r="P27" s="44"/>
      <c r="Q27" s="44"/>
      <c r="R27" s="44"/>
      <c r="S27" s="44"/>
      <c r="T27" s="44"/>
      <c r="U27" s="44"/>
      <c r="V27" s="44"/>
      <c r="W27" s="44"/>
      <c r="X27" s="44"/>
      <c r="Y27" s="44"/>
      <c r="Z27" s="44"/>
      <c r="AA27" s="44"/>
      <c r="AB27" s="44"/>
      <c r="AC27" s="44"/>
      <c r="AD27" s="44"/>
      <c r="AE27" s="44"/>
      <c r="AF27" s="44"/>
      <c r="AG27" s="44"/>
      <c r="AH27" s="44"/>
    </row>
    <row r="28" spans="2:34" x14ac:dyDescent="0.35">
      <c r="B28" s="2" t="s">
        <v>30</v>
      </c>
      <c r="C28" s="26">
        <v>0</v>
      </c>
      <c r="D28" s="17">
        <v>1</v>
      </c>
      <c r="E28" s="87">
        <v>1</v>
      </c>
      <c r="F28" s="17">
        <v>0</v>
      </c>
      <c r="G28" s="27">
        <v>0</v>
      </c>
      <c r="H28" s="87"/>
      <c r="J28" s="20"/>
    </row>
    <row r="29" spans="2:34" x14ac:dyDescent="0.35">
      <c r="B29" s="2" t="s">
        <v>31</v>
      </c>
      <c r="C29" s="26">
        <v>0</v>
      </c>
      <c r="D29" s="17">
        <v>0</v>
      </c>
      <c r="E29" s="87">
        <v>0</v>
      </c>
      <c r="F29" s="17">
        <v>1</v>
      </c>
      <c r="G29" s="27">
        <v>2</v>
      </c>
      <c r="H29" s="87"/>
      <c r="J29" s="20"/>
      <c r="O29" s="45"/>
    </row>
    <row r="30" spans="2:34" x14ac:dyDescent="0.35">
      <c r="B30" s="1" t="s">
        <v>39</v>
      </c>
      <c r="C30" s="46">
        <v>0.4</v>
      </c>
      <c r="D30" s="47">
        <f>C30*0.9</f>
        <v>0.36000000000000004</v>
      </c>
      <c r="E30" s="47">
        <f t="shared" ref="E30:G30" si="3">D30*0.9</f>
        <v>0.32400000000000007</v>
      </c>
      <c r="F30" s="47">
        <f t="shared" si="3"/>
        <v>0.29160000000000008</v>
      </c>
      <c r="G30" s="47">
        <f t="shared" si="3"/>
        <v>0.26244000000000006</v>
      </c>
      <c r="H30" s="32"/>
      <c r="J30" s="20"/>
    </row>
    <row r="31" spans="2:34" x14ac:dyDescent="0.35">
      <c r="B31" s="2" t="s">
        <v>40</v>
      </c>
      <c r="C31" s="48">
        <v>5</v>
      </c>
      <c r="D31" s="48">
        <v>4</v>
      </c>
      <c r="E31" s="49">
        <v>3</v>
      </c>
      <c r="F31" s="48">
        <v>2</v>
      </c>
      <c r="G31" s="88">
        <v>2</v>
      </c>
      <c r="H31" s="49"/>
    </row>
    <row r="32" spans="2:34" x14ac:dyDescent="0.35">
      <c r="B32" s="2" t="s">
        <v>41</v>
      </c>
      <c r="C32" s="48">
        <v>1.8</v>
      </c>
      <c r="D32" s="48">
        <v>1.8</v>
      </c>
      <c r="E32" s="49">
        <v>1.8</v>
      </c>
      <c r="F32" s="48">
        <v>1.8</v>
      </c>
      <c r="G32" s="88">
        <v>1.8</v>
      </c>
      <c r="H32" s="49"/>
    </row>
    <row r="33" spans="2:16" x14ac:dyDescent="0.35">
      <c r="B33" s="50" t="s">
        <v>42</v>
      </c>
      <c r="C33" s="51">
        <f t="shared" ref="C33:G33" si="4">C32+C31</f>
        <v>6.8</v>
      </c>
      <c r="D33" s="51">
        <f t="shared" si="4"/>
        <v>5.8</v>
      </c>
      <c r="E33" s="52">
        <f t="shared" si="4"/>
        <v>4.8</v>
      </c>
      <c r="F33" s="51">
        <f t="shared" si="4"/>
        <v>3.8</v>
      </c>
      <c r="G33" s="89">
        <f t="shared" si="4"/>
        <v>3.8</v>
      </c>
      <c r="H33" s="99"/>
    </row>
    <row r="34" spans="2:16" x14ac:dyDescent="0.35">
      <c r="B34" s="53" t="s">
        <v>55</v>
      </c>
      <c r="C34" s="22">
        <v>500000</v>
      </c>
      <c r="D34" s="87"/>
      <c r="E34" s="87"/>
      <c r="F34" s="87"/>
      <c r="G34" s="27"/>
      <c r="H34" s="87"/>
      <c r="O34" s="44"/>
      <c r="P34" s="44"/>
    </row>
    <row r="35" spans="2:16" x14ac:dyDescent="0.35">
      <c r="B35" s="53" t="s">
        <v>54</v>
      </c>
      <c r="C35" s="22">
        <v>3000000</v>
      </c>
      <c r="D35" s="87"/>
      <c r="E35" s="87"/>
      <c r="F35" s="87"/>
      <c r="G35" s="27"/>
      <c r="H35" s="87"/>
      <c r="O35" s="44"/>
      <c r="P35" s="44"/>
    </row>
    <row r="36" spans="2:16" x14ac:dyDescent="0.35">
      <c r="B36" s="53" t="s">
        <v>57</v>
      </c>
      <c r="C36" s="100">
        <v>60</v>
      </c>
      <c r="D36" s="87"/>
      <c r="E36" s="87"/>
      <c r="F36" s="87"/>
      <c r="G36" s="27"/>
      <c r="H36" s="87"/>
    </row>
    <row r="37" spans="2:16" x14ac:dyDescent="0.35">
      <c r="B37" s="53" t="s">
        <v>59</v>
      </c>
      <c r="C37" s="90">
        <v>0.08</v>
      </c>
      <c r="D37" s="87"/>
      <c r="E37" s="87"/>
      <c r="F37" s="87"/>
      <c r="G37" s="27"/>
      <c r="H37" s="87"/>
    </row>
    <row r="38" spans="2:16" x14ac:dyDescent="0.35">
      <c r="B38" s="53" t="s">
        <v>58</v>
      </c>
      <c r="C38" s="22">
        <f>(C35*C39/60+C35*C39*C37/C36)*12</f>
        <v>324000</v>
      </c>
      <c r="D38" s="92"/>
      <c r="E38" s="87"/>
      <c r="F38" s="87"/>
      <c r="G38" s="27"/>
      <c r="H38" s="87"/>
    </row>
    <row r="39" spans="2:16" x14ac:dyDescent="0.35">
      <c r="B39" s="53" t="s">
        <v>32</v>
      </c>
      <c r="C39" s="32">
        <v>0.5</v>
      </c>
      <c r="D39" s="87"/>
      <c r="E39" s="87"/>
      <c r="F39" s="87"/>
      <c r="G39" s="27"/>
      <c r="H39" s="87"/>
    </row>
    <row r="40" spans="2:16" x14ac:dyDescent="0.35">
      <c r="B40" s="54" t="s">
        <v>18</v>
      </c>
      <c r="C40" s="55"/>
      <c r="D40" s="55"/>
      <c r="E40" s="55"/>
      <c r="F40" s="55"/>
      <c r="G40" s="16"/>
      <c r="H40" s="87"/>
    </row>
    <row r="41" spans="2:16" ht="15.5" customHeight="1" x14ac:dyDescent="0.35">
      <c r="B41" s="26" t="s">
        <v>22</v>
      </c>
      <c r="C41" s="87"/>
      <c r="D41" s="87"/>
      <c r="E41" s="87"/>
      <c r="F41" s="87"/>
      <c r="G41" s="27"/>
      <c r="H41" s="87"/>
      <c r="L41" s="25" t="s">
        <v>19</v>
      </c>
    </row>
    <row r="42" spans="2:16" x14ac:dyDescent="0.35">
      <c r="B42" s="26"/>
      <c r="C42" s="87"/>
      <c r="D42" s="87"/>
      <c r="E42" s="87"/>
      <c r="F42" s="87"/>
      <c r="G42" s="27"/>
      <c r="H42" s="87"/>
    </row>
    <row r="43" spans="2:16" x14ac:dyDescent="0.35">
      <c r="B43" s="26"/>
      <c r="C43" s="87"/>
      <c r="D43" s="87"/>
      <c r="E43" s="87"/>
      <c r="F43" s="87"/>
      <c r="G43" s="27"/>
      <c r="H43" s="87"/>
    </row>
    <row r="44" spans="2:16" x14ac:dyDescent="0.35">
      <c r="B44" s="26"/>
      <c r="C44" s="87"/>
      <c r="D44" s="87"/>
      <c r="E44" s="87"/>
      <c r="F44" s="87"/>
      <c r="G44" s="27"/>
      <c r="H44" s="87"/>
    </row>
    <row r="45" spans="2:16" x14ac:dyDescent="0.35">
      <c r="B45" s="28"/>
      <c r="C45" s="29"/>
      <c r="D45" s="29"/>
      <c r="E45" s="29"/>
      <c r="F45" s="29"/>
      <c r="G45" s="30"/>
      <c r="H45" s="87"/>
    </row>
    <row r="46" spans="2:16" x14ac:dyDescent="0.35">
      <c r="B46" s="28"/>
      <c r="C46" s="29"/>
      <c r="D46" s="29"/>
      <c r="E46" s="29"/>
      <c r="F46" s="29"/>
      <c r="G46" s="30"/>
      <c r="H46" s="87"/>
    </row>
    <row r="50" spans="2:10" x14ac:dyDescent="0.35">
      <c r="B50" s="91"/>
      <c r="C50" s="91"/>
      <c r="D50" s="91"/>
      <c r="E50" s="91"/>
      <c r="F50" s="91"/>
      <c r="G50" s="91"/>
      <c r="H50" s="91"/>
      <c r="I50" s="91"/>
      <c r="J50" s="91"/>
    </row>
    <row r="51" spans="2:10" x14ac:dyDescent="0.35">
      <c r="B51" s="87"/>
      <c r="C51" s="87"/>
      <c r="D51" s="22"/>
      <c r="E51" s="22"/>
      <c r="F51" s="22"/>
      <c r="G51" s="22"/>
      <c r="H51" s="22"/>
      <c r="I51" s="87"/>
      <c r="J51" s="87"/>
    </row>
    <row r="52" spans="2:10" x14ac:dyDescent="0.35">
      <c r="B52" s="87"/>
      <c r="C52" s="87"/>
      <c r="D52" s="90"/>
      <c r="E52" s="90"/>
      <c r="F52" s="22"/>
      <c r="G52" s="22"/>
      <c r="H52" s="22"/>
      <c r="I52" s="87"/>
      <c r="J52" s="87"/>
    </row>
    <row r="53" spans="2:10" x14ac:dyDescent="0.35">
      <c r="B53" s="91"/>
      <c r="C53" s="93"/>
      <c r="D53" s="93"/>
      <c r="E53" s="93"/>
      <c r="F53" s="93"/>
      <c r="G53" s="93"/>
      <c r="H53" s="93"/>
      <c r="I53" s="93"/>
      <c r="J53" s="93"/>
    </row>
    <row r="54" spans="2:10" x14ac:dyDescent="0.35">
      <c r="B54" s="87"/>
      <c r="C54" s="87"/>
      <c r="D54" s="87"/>
      <c r="E54" s="87"/>
      <c r="F54" s="87"/>
      <c r="G54" s="87"/>
    </row>
  </sheetData>
  <mergeCells count="8">
    <mergeCell ref="B14:G14"/>
    <mergeCell ref="B21:G21"/>
    <mergeCell ref="B24:G24"/>
    <mergeCell ref="B4:B5"/>
    <mergeCell ref="E4:G4"/>
    <mergeCell ref="B6:G6"/>
    <mergeCell ref="M6:S6"/>
    <mergeCell ref="M12:S12"/>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FE746F2CEA4CC64BA21A630978127C17" ma:contentTypeVersion="10" ma:contentTypeDescription="Create a new document." ma:contentTypeScope="" ma:versionID="42efbf28bd81194fab9853268f0a2e01">
  <xsd:schema xmlns:xsd="http://www.w3.org/2001/XMLSchema" xmlns:xs="http://www.w3.org/2001/XMLSchema" xmlns:p="http://schemas.microsoft.com/office/2006/metadata/properties" xmlns:ns3="d08cbad7-717a-4f13-ab78-fef8563880f4" xmlns:ns4="94d52600-d17e-42b9-bfcb-6f9004e472de" targetNamespace="http://schemas.microsoft.com/office/2006/metadata/properties" ma:root="true" ma:fieldsID="c6f0ca08b1e6203fd3efc2a40176a114" ns3:_="" ns4:_="">
    <xsd:import namespace="d08cbad7-717a-4f13-ab78-fef8563880f4"/>
    <xsd:import namespace="94d52600-d17e-42b9-bfcb-6f9004e472de"/>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08cbad7-717a-4f13-ab78-fef8563880f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4d52600-d17e-42b9-bfcb-6f9004e472de"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SharingHintHash" ma:index="17"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D4E364C-F8E1-4FA2-AEC4-77098D15922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08cbad7-717a-4f13-ab78-fef8563880f4"/>
    <ds:schemaRef ds:uri="94d52600-d17e-42b9-bfcb-6f9004e472d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14525D7-7718-46D9-8350-F8FAD4F18C63}">
  <ds:schemaRefs>
    <ds:schemaRef ds:uri="http://schemas.microsoft.com/sharepoint/v3/contenttype/forms"/>
  </ds:schemaRefs>
</ds:datastoreItem>
</file>

<file path=customXml/itemProps3.xml><?xml version="1.0" encoding="utf-8"?>
<ds:datastoreItem xmlns:ds="http://schemas.openxmlformats.org/officeDocument/2006/customXml" ds:itemID="{FB1245E4-4D46-447F-A859-ACAD4B7599E9}">
  <ds:schemaRefs>
    <ds:schemaRef ds:uri="http://purl.org/dc/elements/1.1/"/>
    <ds:schemaRef ds:uri="http://schemas.microsoft.com/office/2006/documentManagement/types"/>
    <ds:schemaRef ds:uri="http://schemas.microsoft.com/office/2006/metadata/properties"/>
    <ds:schemaRef ds:uri="http://www.w3.org/XML/1998/namespace"/>
    <ds:schemaRef ds:uri="http://purl.org/dc/terms/"/>
    <ds:schemaRef ds:uri="http://schemas.microsoft.com/office/infopath/2007/PartnerControls"/>
    <ds:schemaRef ds:uri="94d52600-d17e-42b9-bfcb-6f9004e472de"/>
    <ds:schemaRef ds:uri="http://schemas.openxmlformats.org/package/2006/metadata/core-properties"/>
    <ds:schemaRef ds:uri="d08cbad7-717a-4f13-ab78-fef8563880f4"/>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Instructions</vt:lpstr>
      <vt:lpstr>S U Annual</vt:lpstr>
      <vt:lpstr>S U Quarterly Year 1 &amp; 2</vt:lpstr>
      <vt:lpstr>S U Project Finance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Greene, Jonathan (ESD)</cp:lastModifiedBy>
  <cp:lastPrinted>2022-05-27T18:36:02Z</cp:lastPrinted>
  <dcterms:created xsi:type="dcterms:W3CDTF">2021-06-17T20:41:19Z</dcterms:created>
  <dcterms:modified xsi:type="dcterms:W3CDTF">2022-12-07T17:06:19Z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0x010100FE746F2CEA4CC64BA21A630978127C17</vt:lpwstr>
  </property>
</Properties>
</file>