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ukenik\Desktop\"/>
    </mc:Choice>
  </mc:AlternateContent>
  <bookViews>
    <workbookView xWindow="0" yWindow="60" windowWidth="21840" windowHeight="12375" tabRatio="910"/>
  </bookViews>
  <sheets>
    <sheet name="Instructions" sheetId="39" r:id="rId1"/>
    <sheet name="SD_Dropdowns" sheetId="38" state="veryHidden" r:id="rId2"/>
    <sheet name="Sources and Uses" sheetId="2" r:id="rId3"/>
    <sheet name="Development Budget" sheetId="5" r:id="rId4"/>
    <sheet name="Units &amp; Income" sheetId="1" r:id="rId5"/>
    <sheet name="Construction Interest" sheetId="6" r:id="rId6"/>
    <sheet name="Operating Expenses " sheetId="21" r:id="rId7"/>
    <sheet name="Mortgage" sheetId="4" r:id="rId8"/>
    <sheet name="Cash Flow Proforma" sheetId="22" r:id="rId9"/>
    <sheet name="Amortization" sheetId="25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D" localSheetId="0">#REF!</definedName>
    <definedName name="\D">#REF!</definedName>
    <definedName name="\E" localSheetId="0">[1]Spreadsheet!#REF!</definedName>
    <definedName name="\E">[1]Spreadsheet!#REF!</definedName>
    <definedName name="\F" localSheetId="0">[1]Spreadsheet!#REF!</definedName>
    <definedName name="\F">[1]Spreadsheet!#REF!</definedName>
    <definedName name="\G" localSheetId="0">#REF!</definedName>
    <definedName name="\G">#REF!</definedName>
    <definedName name="\M" localSheetId="0">[1]Spreadsheet!#REF!</definedName>
    <definedName name="\M">[1]Spreadsheet!#REF!</definedName>
    <definedName name="\N" localSheetId="0">#REF!</definedName>
    <definedName name="\N">#REF!</definedName>
    <definedName name="\O" localSheetId="0">[1]Spreadsheet!#REF!</definedName>
    <definedName name="\O">[1]Spreadsheet!#REF!</definedName>
    <definedName name="\P" localSheetId="0">#REF!</definedName>
    <definedName name="\P">#REF!</definedName>
    <definedName name="\Q" localSheetId="0">#REF!</definedName>
    <definedName name="\Q">#REF!</definedName>
    <definedName name="\S" localSheetId="0">#REF!</definedName>
    <definedName name="\S">#REF!</definedName>
    <definedName name="\T">#REF!</definedName>
    <definedName name="\W">#REF!</definedName>
    <definedName name="\X">#REF!</definedName>
    <definedName name="_">'[2]Revenue Input'!#REF!</definedName>
    <definedName name="_A">#REF!</definedName>
    <definedName name="_Fill" hidden="1">#REF!</definedName>
    <definedName name="_LOC2">'[3]Deal Terms'!$M$44:$M$48</definedName>
    <definedName name="_Order1" hidden="1">0</definedName>
    <definedName name="_Order2" hidden="1">0</definedName>
    <definedName name="a" localSheetId="0">#REF!</definedName>
    <definedName name="a">#REF!</definedName>
    <definedName name="AcqBasis" localSheetId="0">#REF!</definedName>
    <definedName name="AcqBasis">#REF!</definedName>
    <definedName name="Actual_Agio">#REF!</definedName>
    <definedName name="Actual_City">#REF!</definedName>
    <definedName name="Actual_County">#REF!</definedName>
    <definedName name="Actual_Eq_Dist">#REF!</definedName>
    <definedName name="Actual_Int_Fin">#REF!</definedName>
    <definedName name="Actual_Leverage">#REF!</definedName>
    <definedName name="Actual_State">#REF!</definedName>
    <definedName name="adamperm2">#REF!</definedName>
    <definedName name="AdjMethodDescribed">#REF!</definedName>
    <definedName name="AdjustedRentRoll">#REF!</definedName>
    <definedName name="AdjustmentMethod">#REF!</definedName>
    <definedName name="adv">#REF!</definedName>
    <definedName name="affordability">'[2]Rent Roll Input'!$E$20:$E$280</definedName>
    <definedName name="AHC" localSheetId="0">#REF!</definedName>
    <definedName name="AHC">#REF!</definedName>
    <definedName name="AHP_Grant">[4]Financing!$B$143</definedName>
    <definedName name="AMI" localSheetId="0">#REF!</definedName>
    <definedName name="AMI">#REF!</definedName>
    <definedName name="AMICalculator" localSheetId="0">#REF!</definedName>
    <definedName name="AMICalculator">#REF!</definedName>
    <definedName name="AMITest_AMILevel" localSheetId="0">#REF!</definedName>
    <definedName name="AMITest_AMILevel">#REF!</definedName>
    <definedName name="AMITest_IncomesAbove">#REF!</definedName>
    <definedName name="AMITest_RentFromEligibleUnits">#REF!</definedName>
    <definedName name="AMITest_RentsBelow">#REF!</definedName>
    <definedName name="AmortRate1">#REF!</definedName>
    <definedName name="AmortTerm1">#REF!</definedName>
    <definedName name="AmortTerm2">#REF!</definedName>
    <definedName name="Analysis">'[5]1) Data'!$C$16</definedName>
    <definedName name="ApplicableFraction" localSheetId="0">#REF!</definedName>
    <definedName name="ApplicableFraction">#REF!</definedName>
    <definedName name="Archfee" localSheetId="0">#REF!</definedName>
    <definedName name="Archfee">#REF!</definedName>
    <definedName name="AssemblyDist">'[6]Hidden LIsts'!$D$2:$D$151</definedName>
    <definedName name="Average_Size_of_Units">'[7]Cred Memo'!$H$181:$N$182</definedName>
    <definedName name="b" localSheetId="0">#REF!</definedName>
    <definedName name="b">#REF!</definedName>
    <definedName name="Balloon_on_HDC_Second_Mortgage">'[7]Cred Memo'!$B$146:$F$152</definedName>
    <definedName name="BaseHardCosts">'[2]Development Cost Input'!$H$62</definedName>
    <definedName name="bd" localSheetId="0">#REF!</definedName>
    <definedName name="bd">#REF!</definedName>
    <definedName name="BLDGRESERVE" localSheetId="0">'[8]M and O'!#REF!</definedName>
    <definedName name="BLDGRESERVE">'[8]M and O'!#REF!</definedName>
    <definedName name="BOND_FACE">[4]Financing!$B$147</definedName>
    <definedName name="BoostList">'[6]Hidden LIsts'!$B$2:$B$7</definedName>
    <definedName name="BORDER" localSheetId="0">#REF!</definedName>
    <definedName name="BORDER">#REF!</definedName>
    <definedName name="borough" localSheetId="0">#REF!</definedName>
    <definedName name="borough">#REF!</definedName>
    <definedName name="BorrowerRent">'[2]Rent Roll Input'!$G$20:$G$271</definedName>
    <definedName name="BP" localSheetId="0">#REF!</definedName>
    <definedName name="BP">#REF!</definedName>
    <definedName name="BRooms0">[9]Data!$M$94</definedName>
    <definedName name="BRooms1">[9]Data!$M$95</definedName>
    <definedName name="BRooms2">[9]Data!$M$96</definedName>
    <definedName name="BRooms3">[9]Data!$M$97</definedName>
    <definedName name="BRooms4">[9]Data!$M$98</definedName>
    <definedName name="budget" localSheetId="0">#REF!</definedName>
    <definedName name="budget">#REF!</definedName>
    <definedName name="Buildings" localSheetId="0">#REF!</definedName>
    <definedName name="Buildings">#REF!</definedName>
    <definedName name="ca" localSheetId="0">#REF!</definedName>
    <definedName name="ca">#REF!</definedName>
    <definedName name="cap">#REF!</definedName>
    <definedName name="CASH">[1]CashColl!#REF!</definedName>
    <definedName name="Cats">'[2]Revenue Input'!#REF!</definedName>
    <definedName name="City">'[2]Project Data'!$D$7</definedName>
    <definedName name="Co_Investor" localSheetId="0">#REF!</definedName>
    <definedName name="Co_Investor">#REF!</definedName>
    <definedName name="com" localSheetId="0">#REF!</definedName>
    <definedName name="com">#REF!</definedName>
    <definedName name="ComBoard">'[6]Hidden LIsts'!$F$2:$F$61</definedName>
    <definedName name="con" localSheetId="0">#REF!</definedName>
    <definedName name="con">#REF!</definedName>
    <definedName name="CONCOST" localSheetId="0">'[8]Development Bud'!#REF!</definedName>
    <definedName name="CONCOST">'[8]Development Bud'!#REF!</definedName>
    <definedName name="Congressional_Dist">'[6]Hidden LIsts'!$E$2:$E$28</definedName>
    <definedName name="conint" localSheetId="0">'[10]Devel. Bud'!#REF!</definedName>
    <definedName name="conint">'[10]Devel. Bud'!#REF!</definedName>
    <definedName name="ConstClosing" localSheetId="0">#REF!</definedName>
    <definedName name="ConstClosing">#REF!</definedName>
    <definedName name="ConstIncome" localSheetId="0">#REF!</definedName>
    <definedName name="ConstIncome">#REF!</definedName>
    <definedName name="CONSTINTEREST" localSheetId="0">'[8]Development Bud'!#REF!</definedName>
    <definedName name="CONSTINTEREST">'[8]Development Bud'!#REF!</definedName>
    <definedName name="ConstLoan" localSheetId="0">#REF!</definedName>
    <definedName name="ConstLoan">#REF!</definedName>
    <definedName name="ConstPeriod" localSheetId="0">#REF!</definedName>
    <definedName name="ConstPeriod">#REF!</definedName>
    <definedName name="Construction_Loan" localSheetId="0">#REF!</definedName>
    <definedName name="Construction_Loan">#REF!</definedName>
    <definedName name="Construction_Period__Sources_of_Funds">'[7]Cred Memo'!$B$108:$E$122</definedName>
    <definedName name="constructionperiod">[11]Assumptions!$G$9</definedName>
    <definedName name="ConstTerm" localSheetId="0">#REF!</definedName>
    <definedName name="ConstTerm">#REF!</definedName>
    <definedName name="Contractorcost" localSheetId="0">#REF!</definedName>
    <definedName name="Contractorcost">#REF!</definedName>
    <definedName name="Contractorhardcost" localSheetId="0">#REF!</definedName>
    <definedName name="Contractorhardcost">#REF!</definedName>
    <definedName name="Contribution">#REF!</definedName>
    <definedName name="CostsofIssuance">'[2]Development Cost Input'!$H$145</definedName>
    <definedName name="CountyList">'[6]Hidden LIsts'!$H$2:$H$63</definedName>
    <definedName name="CP_Horizontal" localSheetId="0">#REF!</definedName>
    <definedName name="CP_Horizontal">#REF!</definedName>
    <definedName name="CPBLDGRESERVE">'[12]M and O'!$C$28</definedName>
    <definedName name="CPCONCOST" localSheetId="0">#REF!</definedName>
    <definedName name="CPCONCOST">#REF!</definedName>
    <definedName name="CPCONSTINTEREST">'[12]Devel. Bud'!#REF!</definedName>
    <definedName name="CPDEVFEE" localSheetId="0">#REF!</definedName>
    <definedName name="CPDEVFEE">#REF!</definedName>
    <definedName name="CPEQUITY" localSheetId="0">#REF!</definedName>
    <definedName name="CPEQUITY">#REF!</definedName>
    <definedName name="CPERI" localSheetId="0">[12]Mort!#REF!</definedName>
    <definedName name="CPERI">[12]Mort!#REF!</definedName>
    <definedName name="CreditEnhancement">'[2]Project Data'!$R$43</definedName>
    <definedName name="cs" localSheetId="0">#REF!</definedName>
    <definedName name="cs">#REF!</definedName>
    <definedName name="ct" localSheetId="0">#REF!</definedName>
    <definedName name="ct">#REF!</definedName>
    <definedName name="CurrentBldgReserve" localSheetId="0">#REF!</definedName>
    <definedName name="CurrentBldgReserve">#REF!</definedName>
    <definedName name="CurrentCommercial">#REF!</definedName>
    <definedName name="CurrentCommSpace">#REF!</definedName>
    <definedName name="CurrentGRI">#REF!</definedName>
    <definedName name="CurrentLaundry">#REF!</definedName>
    <definedName name="CurrentMandO">#REF!</definedName>
    <definedName name="CurrentParking">#REF!</definedName>
    <definedName name="CurrentRentRoll">#REF!</definedName>
    <definedName name="CurrentTaxes">#REF!</definedName>
    <definedName name="CurrentTotalExpenses">#REF!</definedName>
    <definedName name="DebtCoverageRatio">'[2]Financing Assumptions'!#REF!</definedName>
    <definedName name="dec" localSheetId="0">#REF!</definedName>
    <definedName name="dec">#REF!</definedName>
    <definedName name="DefaultEfficiency" localSheetId="0">#REF!</definedName>
    <definedName name="DefaultEfficiency">#REF!</definedName>
    <definedName name="DeferredFee" localSheetId="0">#REF!</definedName>
    <definedName name="DeferredFee">#REF!</definedName>
    <definedName name="Development_Costs">'[7]Cred Memo'!$B$82:$F$103</definedName>
    <definedName name="Development_Team">'[7]Cred Memo'!$B$57:$G$61</definedName>
    <definedName name="DEVFEE">'[8]Development Bud'!#REF!</definedName>
    <definedName name="df">[9]Data!$M$98</definedName>
    <definedName name="DHCR" localSheetId="0">#REF!</definedName>
    <definedName name="DHCR">#REF!</definedName>
    <definedName name="Diff_Agio" localSheetId="0">#REF!</definedName>
    <definedName name="Diff_Agio">#REF!</definedName>
    <definedName name="Diff_Eq_Dist" localSheetId="0">#REF!</definedName>
    <definedName name="Diff_Eq_Dist">#REF!</definedName>
    <definedName name="Diff_Int_Fin">#REF!</definedName>
    <definedName name="Diff_IRR">#REF!</definedName>
    <definedName name="Diff_Leverage">#REF!</definedName>
    <definedName name="Dogs">'[2]Revenue Input'!#REF!</definedName>
    <definedName name="DSCR">#REF!</definedName>
    <definedName name="E" localSheetId="0">#REF!</definedName>
    <definedName name="E">#REF!</definedName>
    <definedName name="Elevators" localSheetId="0">#REF!</definedName>
    <definedName name="Elevators">#REF!</definedName>
    <definedName name="EligibleBasis">#REF!</definedName>
    <definedName name="em">#REF!</definedName>
    <definedName name="EQ">[4]Financing!$B$142</definedName>
    <definedName name="EQUITY">'[8]Development Bud'!#REF!</definedName>
    <definedName name="ERI">[8]Mort!#REF!</definedName>
    <definedName name="error">'[13]Units &amp; Income'!$B$38</definedName>
    <definedName name="es" localSheetId="0">#REF!</definedName>
    <definedName name="es">#REF!</definedName>
    <definedName name="EXHIBIT" localSheetId="0">#REF!</definedName>
    <definedName name="EXHIBIT">#REF!</definedName>
    <definedName name="Expenses">'[14]M and O'!$C$28</definedName>
    <definedName name="f" localSheetId="0">#REF!</definedName>
    <definedName name="f">#REF!</definedName>
    <definedName name="FHLB" localSheetId="0">#REF!</definedName>
    <definedName name="FHLB">#REF!</definedName>
    <definedName name="Financing_Information">'[7]Cred Memo'!$B$66:$G$75</definedName>
    <definedName name="FIRST">[14]Mort!$H$30</definedName>
    <definedName name="First_Copy" localSheetId="0">#REF!</definedName>
    <definedName name="First_Copy">#REF!</definedName>
    <definedName name="First_Paste_1" localSheetId="0">#REF!</definedName>
    <definedName name="First_Paste_1">#REF!</definedName>
    <definedName name="First_Paste_2" localSheetId="0">#REF!</definedName>
    <definedName name="First_Paste_2">#REF!</definedName>
    <definedName name="First_Paste_3">#REF!</definedName>
    <definedName name="First_Paste_4">#REF!</definedName>
    <definedName name="First_Paste_5">#REF!</definedName>
    <definedName name="FirstMortgage">#REF!</definedName>
    <definedName name="g">#REF!</definedName>
    <definedName name="gap">#REF!</definedName>
    <definedName name="GenFunds">#REF!</definedName>
    <definedName name="German">#REF!</definedName>
    <definedName name="gl">#REF!</definedName>
    <definedName name="gpr">#REF!</definedName>
    <definedName name="gr">#REF!</definedName>
    <definedName name="Grade">'[15]Form 1146'!$H$126:$H$130</definedName>
    <definedName name="GrossCommercial" localSheetId="0">'[2]Development Cost Input'!#REF!</definedName>
    <definedName name="GrossCommercial">'[2]Development Cost Input'!#REF!</definedName>
    <definedName name="GrossResidential" localSheetId="0">'[2]Development Cost Input'!#REF!</definedName>
    <definedName name="GrossResidential">'[2]Development Cost Input'!#REF!</definedName>
    <definedName name="GrossSquareFeet" localSheetId="0">'[2]Development Cost Input'!#REF!</definedName>
    <definedName name="GrossSquareFeet">'[2]Development Cost Input'!#REF!</definedName>
    <definedName name="GRR" localSheetId="0">'[8]Units &amp; Income'!#REF!</definedName>
    <definedName name="GRR">'[8]Units &amp; Income'!#REF!</definedName>
    <definedName name="GSF">'[16]Revenue Input'!$P$89</definedName>
    <definedName name="GSF_Residential" localSheetId="0">#REF!</definedName>
    <definedName name="GSF_Residential">#REF!</definedName>
    <definedName name="GURAL" localSheetId="0" hidden="1">{#N/A,#N/A,TRUE,"Summary I";#N/A,#N/A,TRUE,"Summary II";#N/A,#N/A,TRUE,"Summary III";#N/A,#N/A,TRUE,"Sources &amp; Uses";#N/A,#N/A,TRUE,"Income";#N/A,#N/A,TRUE,"Expenses";#N/A,#N/A,TRUE,"Spreadsheet";#N/A,#N/A,TRUE,"CashColl";#N/A,#N/A,TRUE,"Reserves";#N/A,#N/A,TRUE,"Immediate Repairs";#N/A,#N/A,TRUE,"Loan Options ";#N/A,#N/A,TRUE,"Exit Strategy";#N/A,#N/A,TRUE,"Waivers &amp; Conditions";#N/A,#N/A,TRUE,"Signature Page"}</definedName>
    <definedName name="GURAL" hidden="1">{#N/A,#N/A,TRUE,"Summary I";#N/A,#N/A,TRUE,"Summary II";#N/A,#N/A,TRUE,"Summary III";#N/A,#N/A,TRUE,"Sources &amp; Uses";#N/A,#N/A,TRUE,"Income";#N/A,#N/A,TRUE,"Expenses";#N/A,#N/A,TRUE,"Spreadsheet";#N/A,#N/A,TRUE,"CashColl";#N/A,#N/A,TRUE,"Reserves";#N/A,#N/A,TRUE,"Immediate Repairs";#N/A,#N/A,TRUE,"Loan Options ";#N/A,#N/A,TRUE,"Exit Strategy";#N/A,#N/A,TRUE,"Waivers &amp; Conditions";#N/A,#N/A,TRUE,"Signature Page"}</definedName>
    <definedName name="HabitatHC">#REF!</definedName>
    <definedName name="HabitatSC">#REF!</definedName>
    <definedName name="HDCDSC">[17]Income!$D$24</definedName>
    <definedName name="HDCEXPENSES">'[8]M and O'!$G$31</definedName>
    <definedName name="HDCFIRST">[8]Mort!$G$33</definedName>
    <definedName name="HDCSECOND">[8]Mort!$H$33</definedName>
    <definedName name="HOME" localSheetId="0">#REF!</definedName>
    <definedName name="HOME">#REF!</definedName>
    <definedName name="HOME_funds">[9]Data!$G$25</definedName>
    <definedName name="HPDFirst" localSheetId="0">#REF!</definedName>
    <definedName name="HPDFirst">#REF!</definedName>
    <definedName name="HPDProgram" localSheetId="0">#REF!</definedName>
    <definedName name="HPDProgram">#REF!</definedName>
    <definedName name="HPDSecond" localSheetId="0">#REF!</definedName>
    <definedName name="HPDSecond">#REF!</definedName>
    <definedName name="HPDThird">#REF!</definedName>
    <definedName name="HPDTotal">#REF!</definedName>
    <definedName name="I_A">#REF!</definedName>
    <definedName name="ICF">#REF!</definedName>
    <definedName name="IncExpRatio">#REF!</definedName>
    <definedName name="IncomeLvl">'[6]Hidden LIsts'!$I$2:$I$8</definedName>
    <definedName name="IncreaseMethod" localSheetId="0">#REF!</definedName>
    <definedName name="IncreaseMethod">#REF!</definedName>
    <definedName name="intcap" localSheetId="0">#REF!</definedName>
    <definedName name="intcap">#REF!</definedName>
    <definedName name="Interest_Only" localSheetId="0">'[18]Debt Breakdown '!#REF!</definedName>
    <definedName name="Interest_Only">'[18]Debt Breakdown '!#REF!</definedName>
    <definedName name="IntRate" localSheetId="0">#REF!</definedName>
    <definedName name="IntRate">#REF!</definedName>
    <definedName name="L" localSheetId="0">#REF!</definedName>
    <definedName name="L">#REF!</definedName>
    <definedName name="la" localSheetId="0">#REF!</definedName>
    <definedName name="la">#REF!</definedName>
    <definedName name="LandCost">'[16]Development Budget'!$H$8</definedName>
    <definedName name="LAUNDRY">'[8]Units &amp; Income'!$D$41</definedName>
    <definedName name="layout">'[2]Rent Roll Input'!$D$20:$D$279</definedName>
    <definedName name="lic" localSheetId="0">#REF!</definedName>
    <definedName name="lic">#REF!</definedName>
    <definedName name="lihtc" localSheetId="0">#REF!</definedName>
    <definedName name="lihtc">#REF!</definedName>
    <definedName name="LOC">'[3]Deal Terms'!$L$44:$L$47</definedName>
    <definedName name="Location_Information">'[7]Cred Memo'!$B$49:$G$53</definedName>
    <definedName name="lowball" localSheetId="0">#REF!</definedName>
    <definedName name="lowball">#REF!</definedName>
    <definedName name="LP_Name" localSheetId="0">#REF!</definedName>
    <definedName name="LP_Name">#REF!</definedName>
    <definedName name="ma" localSheetId="0">#REF!</definedName>
    <definedName name="ma">#REF!</definedName>
    <definedName name="mad">#REF!</definedName>
    <definedName name="MKT_ANALYSIS">[4]Financing!$B$177</definedName>
    <definedName name="MortTerm" localSheetId="0">#REF!</definedName>
    <definedName name="MortTerm">#REF!</definedName>
    <definedName name="mrt" localSheetId="0">#REF!</definedName>
    <definedName name="mrt">#REF!</definedName>
    <definedName name="Name">'[16]Project Data'!$D$5</definedName>
    <definedName name="Name1" localSheetId="0">"createdby Emilio"</definedName>
    <definedName name="Name1">'[11]Project Data'!$D$5</definedName>
    <definedName name="negarb" localSheetId="0">#REF!</definedName>
    <definedName name="negarb">#REF!</definedName>
    <definedName name="NegativeArb" localSheetId="0">#REF!</definedName>
    <definedName name="NegativeArb">#REF!</definedName>
    <definedName name="NETEQUITY">[19]Analysis!$C$59</definedName>
    <definedName name="No" localSheetId="0">#REF!</definedName>
    <definedName name="No">#REF!</definedName>
    <definedName name="NOI">[8]Mort!$D$31</definedName>
    <definedName name="Non_Residential_Revenues" localSheetId="0">#REF!</definedName>
    <definedName name="Non_Residential_Revenues">#REF!</definedName>
    <definedName name="NSF">'[2]Rent Roll Input'!$F$20:$F$271</definedName>
    <definedName name="NYCounties">'[11]Project Data'!$H$7:$H$67</definedName>
    <definedName name="NYSMSA">'[11]Project Data'!$J$7:$J$19</definedName>
    <definedName name="o" localSheetId="0">#REF!</definedName>
    <definedName name="o">#REF!</definedName>
    <definedName name="oa" localSheetId="0">#REF!</definedName>
    <definedName name="oa">#REF!</definedName>
    <definedName name="oe" localSheetId="0">#REF!</definedName>
    <definedName name="oe">#REF!</definedName>
    <definedName name="OpData">#REF!</definedName>
    <definedName name="OpData2">#REF!</definedName>
    <definedName name="OpData3">#REF!</definedName>
    <definedName name="OpData4">#REF!</definedName>
    <definedName name="Operating_Budget">'[7]Cred Memo'!$B$225:$G$243</definedName>
    <definedName name="Option" localSheetId="0">#REF!</definedName>
    <definedName name="Option">#REF!</definedName>
    <definedName name="os" localSheetId="0">#REF!</definedName>
    <definedName name="os">#REF!</definedName>
    <definedName name="ot" localSheetId="0">#REF!</definedName>
    <definedName name="ot">#REF!</definedName>
    <definedName name="OtherLoan">#REF!</definedName>
    <definedName name="Overview" localSheetId="0" hidden="1">{#N/A,#N/A,TRUE,"Summary I";#N/A,#N/A,TRUE,"Summary II";#N/A,#N/A,TRUE,"Summary III";#N/A,#N/A,TRUE,"Sources &amp; Uses";#N/A,#N/A,TRUE,"Income";#N/A,#N/A,TRUE,"Expenses";#N/A,#N/A,TRUE,"Spreadsheet";#N/A,#N/A,TRUE,"CashColl";#N/A,#N/A,TRUE,"Reserves";#N/A,#N/A,TRUE,"Immediate Repairs";#N/A,#N/A,TRUE,"Loan Options ";#N/A,#N/A,TRUE,"Exit Strategy";#N/A,#N/A,TRUE,"Waivers &amp; Conditions";#N/A,#N/A,TRUE,"Signature Page"}</definedName>
    <definedName name="Overview" hidden="1">{#N/A,#N/A,TRUE,"Summary I";#N/A,#N/A,TRUE,"Summary II";#N/A,#N/A,TRUE,"Summary III";#N/A,#N/A,TRUE,"Sources &amp; Uses";#N/A,#N/A,TRUE,"Income";#N/A,#N/A,TRUE,"Expenses";#N/A,#N/A,TRUE,"Spreadsheet";#N/A,#N/A,TRUE,"CashColl";#N/A,#N/A,TRUE,"Reserves";#N/A,#N/A,TRUE,"Immediate Repairs";#N/A,#N/A,TRUE,"Loan Options ";#N/A,#N/A,TRUE,"Exit Strategy";#N/A,#N/A,TRUE,"Waivers &amp; Conditions";#N/A,#N/A,TRUE,"Signature Page"}</definedName>
    <definedName name="P2P">#REF!</definedName>
    <definedName name="Partial">#REF!</definedName>
    <definedName name="PaysBoth">#REF!</definedName>
    <definedName name="PaysElectric">#REF!</definedName>
    <definedName name="PaysNoUtils">#REF!</definedName>
    <definedName name="Permanent_Sources_of_Funds">'[7]Cred Memo'!$B$130:$G$144</definedName>
    <definedName name="PermClosing" localSheetId="0">#REF!</definedName>
    <definedName name="PermClosing">#REF!</definedName>
    <definedName name="PermLoan" localSheetId="0">#REF!</definedName>
    <definedName name="PermLoan">#REF!</definedName>
    <definedName name="PermPLP" localSheetId="0">#REF!</definedName>
    <definedName name="PermPLP">#REF!</definedName>
    <definedName name="pk">#REF!</definedName>
    <definedName name="PLP">#REF!</definedName>
    <definedName name="pm">#REF!</definedName>
    <definedName name="PortionForRent">#REF!</definedName>
    <definedName name="Price">#REF!</definedName>
    <definedName name="_xlnm.Print_Area" localSheetId="8">'Cash Flow Proforma'!$B$2:$T$56</definedName>
    <definedName name="_xlnm.Print_Area" localSheetId="3">'Development Budget'!$B$1:$I$79</definedName>
    <definedName name="_xlnm.Print_Area" localSheetId="6">'Operating Expenses '!$A$2:$F$44</definedName>
    <definedName name="_xlnm.Print_Area" localSheetId="2">'Sources and Uses'!$B$1:$F$34</definedName>
    <definedName name="_xlnm.Print_Area" localSheetId="4">'Units &amp; Income'!$B$2:$Q$122</definedName>
    <definedName name="Product">'[3]Deal Terms'!$K$5:$K$21</definedName>
    <definedName name="Project_Summary">'[7]Cred Memo'!$B$2:$G$10</definedName>
    <definedName name="Project_Type" localSheetId="0">'[6]Hidden LIsts'!$G$2:$G$5</definedName>
    <definedName name="Project_Type">'[3]Deal Terms'!$I$21:$I$24</definedName>
    <definedName name="ProjectType">'[2]Project Data'!$R$44</definedName>
    <definedName name="Projname" localSheetId="0">#REF!</definedName>
    <definedName name="Projname">#REF!</definedName>
    <definedName name="Property">'[5]1) Data'!$C$6</definedName>
    <definedName name="ps" localSheetId="0">#REF!</definedName>
    <definedName name="ps">#REF!</definedName>
    <definedName name="pt" localSheetId="0">#REF!</definedName>
    <definedName name="pt">#REF!</definedName>
    <definedName name="purprice" localSheetId="0">#REF!</definedName>
    <definedName name="purprice">#REF!</definedName>
    <definedName name="q">#REF!</definedName>
    <definedName name="QuotedPermLoan">#REF!</definedName>
    <definedName name="ra">#REF!</definedName>
    <definedName name="RAISE">#REF!</definedName>
    <definedName name="Rehab_Type">[9]Data!$G$18</definedName>
    <definedName name="RENT" localSheetId="0">#REF!</definedName>
    <definedName name="RENT">#REF!</definedName>
    <definedName name="RENT1" localSheetId="0">#REF!</definedName>
    <definedName name="RENT1">#REF!</definedName>
    <definedName name="RentAdjustment" localSheetId="0">#REF!</definedName>
    <definedName name="RentAdjustment">#REF!</definedName>
    <definedName name="RentAdjustmentTiming">#REF!</definedName>
    <definedName name="REO" localSheetId="0" hidden="1">{#N/A,#N/A,TRUE,"Summary I";#N/A,#N/A,TRUE,"Summary II";#N/A,#N/A,TRUE,"Summary III";#N/A,#N/A,TRUE,"Sources &amp; Uses";#N/A,#N/A,TRUE,"Income";#N/A,#N/A,TRUE,"Pricing";#N/A,#N/A,TRUE,"Spreadsheet";#N/A,#N/A,TRUE,"Expenses";#N/A,#N/A,TRUE,"CashColl";#N/A,#N/A,TRUE,"Reserves";#N/A,#N/A,TRUE,"Immediate Repairs";#N/A,#N/A,TRUE,"Loan Options ";#N/A,#N/A,TRUE,"Exit Strategy";#N/A,#N/A,TRUE,"Waivers &amp; Conditions";#N/A,#N/A,TRUE,"Borr";#N/A,#N/A,TRUE,"KeyI";#N/A,#N/A,TRUE,"REOI";#N/A,#N/A,TRUE,"KeyII";#N/A,#N/A,TRUE,"REOII";#N/A,#N/A,TRUE,"Notes";#N/A,#N/A,TRUE,"Data";#N/A,#N/A,TRUE,"Signature Page"}</definedName>
    <definedName name="REO" hidden="1">{#N/A,#N/A,TRUE,"Summary I";#N/A,#N/A,TRUE,"Summary II";#N/A,#N/A,TRUE,"Summary III";#N/A,#N/A,TRUE,"Sources &amp; Uses";#N/A,#N/A,TRUE,"Income";#N/A,#N/A,TRUE,"Pricing";#N/A,#N/A,TRUE,"Spreadsheet";#N/A,#N/A,TRUE,"Expenses";#N/A,#N/A,TRUE,"CashColl";#N/A,#N/A,TRUE,"Reserves";#N/A,#N/A,TRUE,"Immediate Repairs";#N/A,#N/A,TRUE,"Loan Options ";#N/A,#N/A,TRUE,"Exit Strategy";#N/A,#N/A,TRUE,"Waivers &amp; Conditions";#N/A,#N/A,TRUE,"Borr";#N/A,#N/A,TRUE,"KeyI";#N/A,#N/A,TRUE,"REOI";#N/A,#N/A,TRUE,"KeyII";#N/A,#N/A,TRUE,"REOII";#N/A,#N/A,TRUE,"Notes";#N/A,#N/A,TRUE,"Data";#N/A,#N/A,TRUE,"Signature Page"}</definedName>
    <definedName name="REOS" localSheetId="0" hidden="1">{#N/A,#N/A,FALSE,"Income";#N/A,#N/A,FALSE,"Expenses";#N/A,#N/A,FALSE,"Loan Options";#N/A,#N/A,FALSE,"Sources &amp; Uses";#N/A,#N/A,FALSE,"Spreadsheet";#N/A,#N/A,FALSE,"Exec. Summ";#N/A,#N/A,FALSE,"Bond ";#N/A,#N/A,FALSE,"Worksheet"}</definedName>
    <definedName name="REOS" hidden="1">{#N/A,#N/A,FALSE,"Income";#N/A,#N/A,FALSE,"Expenses";#N/A,#N/A,FALSE,"Loan Options";#N/A,#N/A,FALSE,"Sources &amp; Uses";#N/A,#N/A,FALSE,"Spreadsheet";#N/A,#N/A,FALSE,"Exec. Summ";#N/A,#N/A,FALSE,"Bond ";#N/A,#N/A,FALSE,"Worksheet"}</definedName>
    <definedName name="REPAIRS" localSheetId="0">#REF!</definedName>
    <definedName name="REPAIRS">#REF!</definedName>
    <definedName name="ReplacementReserve" localSheetId="0">#REF!</definedName>
    <definedName name="ReplacementReserve">#REF!</definedName>
    <definedName name="Res_DUs">[20]Data!$M$75</definedName>
    <definedName name="Residential_Data">'[7]Cred Memo'!$H$188:$L$206</definedName>
    <definedName name="Residual" localSheetId="0">#REF!</definedName>
    <definedName name="Residual">#REF!</definedName>
    <definedName name="ret" localSheetId="0">#REF!</definedName>
    <definedName name="ret">#REF!</definedName>
    <definedName name="Returns" localSheetId="0">#REF!</definedName>
    <definedName name="Returns">#REF!</definedName>
    <definedName name="ridgeconst">#REF!</definedName>
    <definedName name="ridgeperm">#REF!</definedName>
    <definedName name="RRCALC">#REF!</definedName>
    <definedName name="rs">#REF!</definedName>
    <definedName name="S">#REF!</definedName>
    <definedName name="SCREEN">#REF!</definedName>
    <definedName name="sec8term">#REF!</definedName>
    <definedName name="SECOND">[14]Mort!$I$30</definedName>
    <definedName name="Second_Copy" localSheetId="0">#REF!</definedName>
    <definedName name="Second_Copy">#REF!</definedName>
    <definedName name="Second_Paste_1" localSheetId="0">#REF!</definedName>
    <definedName name="Second_Paste_1">#REF!</definedName>
    <definedName name="Second_Paste_2" localSheetId="0">#REF!</definedName>
    <definedName name="Second_Paste_2">#REF!</definedName>
    <definedName name="Second_Paste_3">#REF!</definedName>
    <definedName name="Second_Paste_4">#REF!</definedName>
    <definedName name="Second_Paste_5">#REF!</definedName>
    <definedName name="Selfhelpconst">[21]SelfHelpConst!$A$8:$M$27</definedName>
    <definedName name="Selfhelpperm">'[21]SelfHelp Permanent OMH'!$A$9:$T$387</definedName>
    <definedName name="SenateDist">'[6]Hidden LIsts'!$C$2:$C$64</definedName>
    <definedName name="SF" localSheetId="0">#REF!</definedName>
    <definedName name="SF">#REF!</definedName>
    <definedName name="sfCost" localSheetId="0">#REF!</definedName>
    <definedName name="sfCost">#REF!</definedName>
    <definedName name="SHOP" localSheetId="0">#REF!</definedName>
    <definedName name="SHOP">#REF!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Spalte4">"$4"</definedName>
    <definedName name="Split" localSheetId="0">#REF!</definedName>
    <definedName name="Split">#REF!</definedName>
    <definedName name="sq" localSheetId="0">#REF!</definedName>
    <definedName name="sq">#REF!</definedName>
    <definedName name="SQCost" localSheetId="0">#REF!</definedName>
    <definedName name="SQCost">#REF!</definedName>
    <definedName name="Square_Footage">'[7]Cred Memo'!$B$15:$D$26</definedName>
    <definedName name="ss" localSheetId="0">#REF!</definedName>
    <definedName name="ss">#REF!</definedName>
    <definedName name="StandardDSCR" localSheetId="0">#REF!</definedName>
    <definedName name="StandardDSCR">#REF!</definedName>
    <definedName name="SUMMARY" localSheetId="0">#REF!</definedName>
    <definedName name="SUMMARY">#REF!</definedName>
    <definedName name="Supers">#REF!</definedName>
    <definedName name="T">#REF!</definedName>
    <definedName name="TaxCreditProject">#REF!</definedName>
    <definedName name="TCAW">#REF!</definedName>
    <definedName name="TCEquity">#REF!</definedName>
    <definedName name="TCEquityPerDeveloper">#REF!</definedName>
    <definedName name="TDC">#REF!</definedName>
    <definedName name="tel">#REF!</definedName>
    <definedName name="TerminalCapRate">'[16]Proforma Assumptions Input'!#REF!</definedName>
    <definedName name="THREE" localSheetId="0">#REF!</definedName>
    <definedName name="THREE">#REF!</definedName>
    <definedName name="top" localSheetId="0">#REF!</definedName>
    <definedName name="top">#REF!</definedName>
    <definedName name="TotAcqCost" localSheetId="0">#REF!</definedName>
    <definedName name="TotAcqCost">#REF!</definedName>
    <definedName name="Total_LOC">'[11]Financing Assumptions'!$L$13</definedName>
    <definedName name="Total_Units">'[22]Rent and Unit Mix'!$C$77</definedName>
    <definedName name="TotalAcquisitionCost">'[16]Development Budget'!$H$14</definedName>
    <definedName name="TotalCommercialSF">'[16]Revenue Input'!$I$66</definedName>
    <definedName name="TotalDevelopmentCost">'[16]Development Budget'!$H$153</definedName>
    <definedName name="TotalEffectiveIncome" localSheetId="0">#REF!</definedName>
    <definedName name="TotalEffectiveIncome">#REF!</definedName>
    <definedName name="totalexpenses" localSheetId="0">#REF!</definedName>
    <definedName name="totalexpenses">#REF!</definedName>
    <definedName name="TotalGrossIncome" localSheetId="0">#REF!</definedName>
    <definedName name="TotalGrossIncome">#REF!</definedName>
    <definedName name="TotalHardCost">'[2]Development Cost Input'!$H$73</definedName>
    <definedName name="TOTALLOAN">[23]Mort!$M$30</definedName>
    <definedName name="TotalProjectCost" localSheetId="0">TotalDevelopmentCost+TotalAcquisitionCost</definedName>
    <definedName name="TotalProjectCost">TotalDevelopmentCost+TotalAcquisitionCost</definedName>
    <definedName name="TotalProjectCostB">[24]!TotalDevelopmentCost+[24]!TotalAcquisitionCost</definedName>
    <definedName name="TotalProjectCostC">[24]!TotalDevelopmentCost+[24]!TotalAcquisitionCost</definedName>
    <definedName name="TotalProjectCostD">[24]!TotalDevelopmentCost+[24]!TotalAcquisitionCost</definedName>
    <definedName name="TotalResidentialSF">'[16]Revenue Input'!$I$48</definedName>
    <definedName name="TotalUnits">'[16]Revenue Input'!$W$48</definedName>
    <definedName name="TotHardCost" localSheetId="0">#REF!</definedName>
    <definedName name="TotHardCost">#REF!</definedName>
    <definedName name="TotSoftCost" localSheetId="0">#REF!</definedName>
    <definedName name="TotSoftCost">#REF!</definedName>
    <definedName name="tr" localSheetId="0">#REF!</definedName>
    <definedName name="tr">#REF!</definedName>
    <definedName name="TwelveMonths">#REF!</definedName>
    <definedName name="UnderwritingRent">'[2]Rent Roll Input'!$I$20:$I$272</definedName>
    <definedName name="Unit" localSheetId="0">#REF!</definedName>
    <definedName name="Unit">#REF!</definedName>
    <definedName name="Unit_Breakdown_by_Rent_Level">'[7]Cred Memo'!$B$30:$D$46</definedName>
    <definedName name="Unit_Distribution_by_Monthly_Rent">'[7]Cred Memo'!$H$169:$O$176</definedName>
    <definedName name="Unit_Distribution_by_Rent_Level">'[7]Cred Memo'!$H$156:$N$163</definedName>
    <definedName name="UNITS">'[8]Units &amp; Income'!$B$21</definedName>
    <definedName name="v" localSheetId="0">#REF!</definedName>
    <definedName name="v">#REF!</definedName>
    <definedName name="Vacancies" localSheetId="0">#REF!</definedName>
    <definedName name="Vacancies">#REF!</definedName>
    <definedName name="w" localSheetId="0">#REF!</definedName>
    <definedName name="w">#REF!</definedName>
    <definedName name="Washconst">#REF!</definedName>
    <definedName name="Washperm">#REF!</definedName>
    <definedName name="wrn.2013._.for._.a._.223f." localSheetId="0" hidden="1">{"Page 1",#N/A,FALSE,"Page 1";"Page 2",#N/A,FALSE,"Page 2";"Page 3",#N/A,FALSE,"Page 3";"Page 4",#N/A,FALSE,"Page 4";"Page 5",#N/A,FALSE,"Page 5";"sett req 223f",#N/A,FALSE,"223(f) Settlement Requirements"}</definedName>
    <definedName name="wrn.2013._.for._.a._.223f." hidden="1">{"Page 1",#N/A,FALSE,"Page 1";"Page 2",#N/A,FALSE,"Page 2";"Page 3",#N/A,FALSE,"Page 3";"Page 4",#N/A,FALSE,"Page 4";"Page 5",#N/A,FALSE,"Page 5";"sett req 223f",#N/A,FALSE,"223(f) Settlement Requirements"}</definedName>
    <definedName name="wrn.2013._.for._.a._.d4." localSheetId="0" hidden="1">{"Page 1",#N/A,FALSE,"Page 1";"Page 2",#N/A,FALSE,"Page 2";"Page 3",#N/A,FALSE,"Page 3";"Page 4",#N/A,FALSE,"Page 4";"Page 5",#N/A,FALSE,"Page 5"}</definedName>
    <definedName name="wrn.2013._.for._.a._.d4." hidden="1">{"Page 1",#N/A,FALSE,"Page 1";"Page 2",#N/A,FALSE,"Page 2";"Page 3",#N/A,FALSE,"Page 3";"Page 4",#N/A,FALSE,"Page 4";"Page 5",#N/A,FALSE,"Page 5"}</definedName>
    <definedName name="wrn.92264." localSheetId="0" hidden="1">{"Page8",#N/A,FALSE,"92264 Page 8";"Page7",#N/A,FALSE,"92264 Page 7";"Page6",#N/A,FALSE,"92264 Page 6";"Page5",#N/A,FALSE,"92264 Page 5";"Page4",#N/A,FALSE,"92264 Page 4";"Page3",#N/A,FALSE,"92264 Page 3";"Page2",#N/A,FALSE,"92264 Page 2";"Page1",#N/A,FALSE,"92264 Page 1"}</definedName>
    <definedName name="wrn.92264." hidden="1">{"Page8",#N/A,FALSE,"92264 Page 8";"Page7",#N/A,FALSE,"92264 Page 7";"Page6",#N/A,FALSE,"92264 Page 6";"Page5",#N/A,FALSE,"92264 Page 5";"Page4",#N/A,FALSE,"92264 Page 4";"Page3",#N/A,FALSE,"92264 Page 3";"Page2",#N/A,FALSE,"92264 Page 2";"Page1",#N/A,FALSE,"92264 Page 1"}</definedName>
    <definedName name="wrn.Committee._.Package." localSheetId="0" hidden="1">{#N/A,#N/A,FALSE,"Signature Page";#N/A,#N/A,FALSE,"Summary I";#N/A,#N/A,FALSE,"Summary II";#N/A,#N/A,FALSE,"Borr";#N/A,#N/A,FALSE,"KeyI";#N/A,#N/A,FALSE,"REOI";#N/A,#N/A,FALSE,"Income";#N/A,#N/A,FALSE,"Expenses";#N/A,#N/A,FALSE,"Summary III";#N/A,#N/A,FALSE,"Spreadsheet";#N/A,#N/A,FALSE,"Exit Strategy";#N/A,#N/A,FALSE,"CashColl";#N/A,#N/A,FALSE,"Sources &amp; Uses"}</definedName>
    <definedName name="wrn.Committee._.Package." hidden="1">{#N/A,#N/A,FALSE,"Signature Page";#N/A,#N/A,FALSE,"Summary I";#N/A,#N/A,FALSE,"Summary II";#N/A,#N/A,FALSE,"Borr";#N/A,#N/A,FALSE,"KeyI";#N/A,#N/A,FALSE,"REOI";#N/A,#N/A,FALSE,"Income";#N/A,#N/A,FALSE,"Expenses";#N/A,#N/A,FALSE,"Summary III";#N/A,#N/A,FALSE,"Spreadsheet";#N/A,#N/A,FALSE,"Exit Strategy";#N/A,#N/A,FALSE,"CashColl";#N/A,#N/A,FALSE,"Sources &amp; Uses"}</definedName>
    <definedName name="wrn.Lower._.Tier._.Analysis." localSheetId="0" hidden="1">{#N/A,#N/A,TRUE,"Summary";#N/A,#N/A,TRUE,"Sources and Uses";#N/A,#N/A,TRUE,"Qualified Basis";#N/A,#N/A,TRUE,"Rent and Unit Mix";#N/A,#N/A,TRUE,"Stabilized";#N/A,#N/A,TRUE,"Proforma Operations";#N/A,#N/A,TRUE,"Lease-Up";#N/A,#N/A,TRUE,"Tax Credit Analysis";#N/A,#N/A,TRUE,"Buyer's IRR";#N/A,#N/A,TRUE,"Exhibit A";#N/A,#N/A,TRUE,"Developer Fee Schedule";#N/A,#N/A,TRUE,"Min. Gain Calc.";#N/A,#N/A,TRUE,"Min. Gain Calc. 3-3-5"}</definedName>
    <definedName name="wrn.Lower._.Tier._.Analysis." hidden="1">{#N/A,#N/A,TRUE,"Summary";#N/A,#N/A,TRUE,"Sources and Uses";#N/A,#N/A,TRUE,"Qualified Basis";#N/A,#N/A,TRUE,"Rent and Unit Mix";#N/A,#N/A,TRUE,"Stabilized";#N/A,#N/A,TRUE,"Proforma Operations";#N/A,#N/A,TRUE,"Lease-Up";#N/A,#N/A,TRUE,"Tax Credit Analysis";#N/A,#N/A,TRUE,"Buyer's IRR";#N/A,#N/A,TRUE,"Exhibit A";#N/A,#N/A,TRUE,"Developer Fee Schedule";#N/A,#N/A,TRUE,"Min. Gain Calc.";#N/A,#N/A,TRUE,"Min. Gain Calc. 3-3-5"}</definedName>
    <definedName name="wrn.PRINT._.ALL." localSheetId="0" hidden="1">{"page1",#N/A,FALSE,"2013";"page2",#N/A,FALSE,"2013";"page3",#N/A,FALSE,"2013";"page4",#N/A,FALSE,"2013";"page5",#N/A,FALSE,"2013";"mortgage calc",#N/A,FALSE,"2013"}</definedName>
    <definedName name="wrn.PRINT._.ALL." hidden="1">{"page1",#N/A,FALSE,"2013";"page2",#N/A,FALSE,"2013";"page3",#N/A,FALSE,"2013";"page4",#N/A,FALSE,"2013";"page5",#N/A,FALSE,"2013";"mortgage calc",#N/A,FALSE,"2013"}</definedName>
    <definedName name="wrn.Underwriting._.Report." localSheetId="0" hidden="1">{#N/A,#N/A,TRUE,"Summary I";#N/A,#N/A,TRUE,"Signature Page";#N/A,#N/A,TRUE,"Summary II";#N/A,#N/A,TRUE,"Summary III";#N/A,#N/A,TRUE,"Income";#N/A,#N/A,TRUE,"Expenses";#N/A,#N/A,TRUE,"Spreadsheet";#N/A,#N/A,TRUE,"Screening ";#N/A,#N/A,TRUE,"Comments";#N/A,#N/A,TRUE,"Exit Strategy";#N/A,#N/A,TRUE,"CashColl";#N/A,#N/A,TRUE,"Reserves";#N/A,#N/A,TRUE,"Pricing";#N/A,#N/A,TRUE,"Sources &amp; Uses";#N/A,#N/A,TRUE,"Loan Options ";#N/A,#N/A,TRUE,"RE TAX Phase-In";#N/A,#N/A,TRUE,"Commercial leases";#N/A,#N/A,TRUE,"Immediate Repairs";#N/A,#N/A,TRUE,"Borr";#N/A,#N/A,TRUE,"KeyI";#N/A,#N/A,TRUE,"REOI";#N/A,#N/A,TRUE,"KeyII";#N/A,#N/A,TRUE,"REOII";#N/A,#N/A,TRUE,"Data";#N/A,#N/A,TRUE,"Waivers &amp; Conditions"}</definedName>
    <definedName name="wrn.Underwriting._.Report." hidden="1">{#N/A,#N/A,TRUE,"Summary I";#N/A,#N/A,TRUE,"Signature Page";#N/A,#N/A,TRUE,"Summary II";#N/A,#N/A,TRUE,"Summary III";#N/A,#N/A,TRUE,"Income";#N/A,#N/A,TRUE,"Expenses";#N/A,#N/A,TRUE,"Spreadsheet";#N/A,#N/A,TRUE,"Screening ";#N/A,#N/A,TRUE,"Comments";#N/A,#N/A,TRUE,"Exit Strategy";#N/A,#N/A,TRUE,"CashColl";#N/A,#N/A,TRUE,"Reserves";#N/A,#N/A,TRUE,"Pricing";#N/A,#N/A,TRUE,"Sources &amp; Uses";#N/A,#N/A,TRUE,"Loan Options ";#N/A,#N/A,TRUE,"RE TAX Phase-In";#N/A,#N/A,TRUE,"Commercial leases";#N/A,#N/A,TRUE,"Immediate Repairs";#N/A,#N/A,TRUE,"Borr";#N/A,#N/A,TRUE,"KeyI";#N/A,#N/A,TRUE,"REOI";#N/A,#N/A,TRUE,"KeyII";#N/A,#N/A,TRUE,"REOII";#N/A,#N/A,TRUE,"Data";#N/A,#N/A,TRUE,"Waivers &amp; Conditions"}</definedName>
    <definedName name="Year1" localSheetId="0">#REF!</definedName>
    <definedName name="Year1">#REF!</definedName>
    <definedName name="Year10" localSheetId="0">#REF!</definedName>
    <definedName name="Year10">#REF!</definedName>
    <definedName name="Year11" localSheetId="0">#REF!</definedName>
    <definedName name="Year11">#REF!</definedName>
    <definedName name="Year12">#REF!</definedName>
    <definedName name="Year2">#REF!</definedName>
    <definedName name="Year3">#REF!</definedName>
    <definedName name="Year4">#REF!</definedName>
    <definedName name="Year5">#REF!</definedName>
    <definedName name="Year6">#REF!</definedName>
    <definedName name="Year7">#REF!</definedName>
    <definedName name="Year8">#REF!</definedName>
    <definedName name="Year9">#REF!</definedName>
    <definedName name="Yes">#REF!</definedName>
    <definedName name="YesNo" localSheetId="0">'[6]Hidden LIsts'!$A$2:$A$3</definedName>
    <definedName name="YesNo">'[3]Deal Terms'!$P$7:$P$8</definedName>
    <definedName name="Z" localSheetId="0">#REF!</definedName>
    <definedName name="Z">#REF!</definedName>
    <definedName name="Z_1ECE83C7_A3CE_4F97_BFD3_498FF783C0D9_.wvu.PrintArea" localSheetId="5" hidden="1">'Construction Interest'!$B$2:$G$57</definedName>
    <definedName name="Z_1ECE83C7_A3CE_4F97_BFD3_498FF783C0D9_.wvu.PrintArea" localSheetId="3" hidden="1">'Development Budget'!$B$1:$I$79</definedName>
    <definedName name="Z_1ECE83C7_A3CE_4F97_BFD3_498FF783C0D9_.wvu.PrintArea" localSheetId="7" hidden="1">Mortgage!$B$2:$L$31</definedName>
    <definedName name="Z_1ECE83C7_A3CE_4F97_BFD3_498FF783C0D9_.wvu.PrintArea" localSheetId="2" hidden="1">'Sources and Uses'!$B$3:$E$33</definedName>
    <definedName name="Z_1ECE83C7_A3CE_4F97_BFD3_498FF783C0D9_.wvu.PrintArea" localSheetId="4" hidden="1">'Units &amp; Income'!$B$2:$J$43</definedName>
    <definedName name="Z_25C4E7E7_1006_4A2D_BC83_AEE4ADF8A914_.wvu.PrintArea" localSheetId="5" hidden="1">'Construction Interest'!$B$2:$G$57</definedName>
    <definedName name="Z_25C4E7E7_1006_4A2D_BC83_AEE4ADF8A914_.wvu.PrintArea" localSheetId="3" hidden="1">'Development Budget'!$B$1:$I$79</definedName>
    <definedName name="Z_25C4E7E7_1006_4A2D_BC83_AEE4ADF8A914_.wvu.PrintArea" localSheetId="7" hidden="1">Mortgage!$B$2:$L$31</definedName>
    <definedName name="Z_25C4E7E7_1006_4A2D_BC83_AEE4ADF8A914_.wvu.PrintArea" localSheetId="2" hidden="1">'Sources and Uses'!$B$3:$E$33</definedName>
    <definedName name="Z_25C4E7E7_1006_4A2D_BC83_AEE4ADF8A914_.wvu.PrintArea" localSheetId="4" hidden="1">'Units &amp; Income'!$B$2:$J$43</definedName>
    <definedName name="Z_28F81D13_D146_4D67_8981_BA5D7A496326_.wvu.PrintArea" localSheetId="5" hidden="1">'Construction Interest'!$B$2:$J$54</definedName>
    <definedName name="Z_28F81D13_D146_4D67_8981_BA5D7A496326_.wvu.PrintArea" localSheetId="3" hidden="1">'Development Budget'!$B$1:$G$79</definedName>
    <definedName name="Z_28F81D13_D146_4D67_8981_BA5D7A496326_.wvu.PrintArea" localSheetId="7" hidden="1">Mortgage!$B$2:$L$38</definedName>
    <definedName name="Z_28F81D13_D146_4D67_8981_BA5D7A496326_.wvu.PrintArea" localSheetId="2" hidden="1">'Sources and Uses'!$B$3:$D$33</definedName>
    <definedName name="Z_28F81D13_D146_4D67_8981_BA5D7A496326_.wvu.PrintArea" localSheetId="4" hidden="1">'Units &amp; Income'!$B$2:$J$43</definedName>
    <definedName name="Z_560D4AFA_61E5_46C3_B0CD_D0EB3053A033_.wvu.PrintArea" localSheetId="5" hidden="1">'Construction Interest'!$B$2:$G$57</definedName>
    <definedName name="Z_560D4AFA_61E5_46C3_B0CD_D0EB3053A033_.wvu.PrintArea" localSheetId="3" hidden="1">'Development Budget'!$B$1:$I$79</definedName>
    <definedName name="Z_560D4AFA_61E5_46C3_B0CD_D0EB3053A033_.wvu.PrintArea" localSheetId="7" hidden="1">Mortgage!$B$2:$L$31</definedName>
    <definedName name="Z_560D4AFA_61E5_46C3_B0CD_D0EB3053A033_.wvu.PrintArea" localSheetId="2" hidden="1">'Sources and Uses'!$B$3:$E$33</definedName>
    <definedName name="Z_560D4AFA_61E5_46C3_B0CD_D0EB3053A033_.wvu.PrintArea" localSheetId="4" hidden="1">'Units &amp; Income'!$B$2:$J$43</definedName>
    <definedName name="Z_6EF643BE_69F3_424E_8A44_3890161370D4_.wvu.PrintArea" localSheetId="5" hidden="1">'Construction Interest'!$B$2:$J$54</definedName>
    <definedName name="Z_6EF643BE_69F3_424E_8A44_3890161370D4_.wvu.PrintArea" localSheetId="3" hidden="1">'Development Budget'!$B$1:$G$79</definedName>
    <definedName name="Z_6EF643BE_69F3_424E_8A44_3890161370D4_.wvu.PrintArea" localSheetId="7" hidden="1">Mortgage!$B$2:$L$38</definedName>
    <definedName name="Z_6EF643BE_69F3_424E_8A44_3890161370D4_.wvu.PrintArea" localSheetId="2" hidden="1">'Sources and Uses'!$B$3:$D$33</definedName>
    <definedName name="Z_6EF643BE_69F3_424E_8A44_3890161370D4_.wvu.PrintArea" localSheetId="4" hidden="1">'Units &amp; Income'!$B$2:$J$43</definedName>
    <definedName name="Z_AEA5979F_5357_4ED6_A6CA_1BB80F5C7A74_.wvu.PrintArea" localSheetId="5" hidden="1">'Construction Interest'!$B$2:$J$54</definedName>
    <definedName name="Z_AEA5979F_5357_4ED6_A6CA_1BB80F5C7A74_.wvu.PrintArea" localSheetId="3" hidden="1">'Development Budget'!$B$1:$G$79</definedName>
    <definedName name="Z_AEA5979F_5357_4ED6_A6CA_1BB80F5C7A74_.wvu.PrintArea" localSheetId="7" hidden="1">Mortgage!$B$2:$L$38</definedName>
    <definedName name="Z_AEA5979F_5357_4ED6_A6CA_1BB80F5C7A74_.wvu.PrintArea" localSheetId="2" hidden="1">'Sources and Uses'!$B$3:$D$33</definedName>
    <definedName name="Z_AEA5979F_5357_4ED6_A6CA_1BB80F5C7A74_.wvu.PrintArea" localSheetId="4" hidden="1">'Units &amp; Income'!$B$2:$J$43</definedName>
    <definedName name="Z_EB776EFC_3589_4DB5_BEAF_1E83D9703F9E_.wvu.PrintArea" localSheetId="3" hidden="1">'Development Budget'!$B$1:$G$79</definedName>
    <definedName name="Z_EB776EFC_3589_4DB5_BEAF_1E83D9703F9E_.wvu.PrintArea" localSheetId="7" hidden="1">Mortgage!$B$2:$L$38</definedName>
    <definedName name="Z_EB776EFC_3589_4DB5_BEAF_1E83D9703F9E_.wvu.PrintArea" localSheetId="4" hidden="1">'Units &amp; Income'!$B$2:$J$43</definedName>
    <definedName name="Z_FBB4BF8E_8A9F_4E98_A6F9_5F9BF4C55C67_.wvu.PrintArea" localSheetId="3" hidden="1">'Development Budget'!$B$1:$G$79</definedName>
    <definedName name="Z_FBB4BF8E_8A9F_4E98_A6F9_5F9BF4C55C67_.wvu.PrintArea" localSheetId="7" hidden="1">Mortgage!$B$2:$L$38</definedName>
    <definedName name="Z_FBB4BF8E_8A9F_4E98_A6F9_5F9BF4C55C67_.wvu.PrintArea" localSheetId="4" hidden="1">'Units &amp; Income'!$B$2:$J$43</definedName>
  </definedNames>
  <calcPr calcId="171027" calcMode="autoNoTable" iterate="1" concurrentCalc="0"/>
  <customWorkbookViews>
    <customWorkbookView name="framirez - Personal View" guid="{25C4E7E7-1006-4A2D-BC83-AEE4ADF8A914}" mergeInterval="0" personalView="1" maximized="1" windowWidth="796" windowHeight="402" tabRatio="734" activeSheetId="4"/>
    <customWorkbookView name="Shelly Fox - Personal View" guid="{28F81D13-D146-4D67-8981-BA5D7A496326}" mergeInterval="0" personalView="1" maximized="1" windowWidth="796" windowHeight="428" tabRatio="601" activeSheetId="5"/>
    <customWorkbookView name="grodney - Personal View" guid="{AEA5979F-5357-4ED6-A6CA-1BB80F5C7A74}" mergeInterval="0" personalView="1" maximized="1" windowWidth="1020" windowHeight="604" tabRatio="601" activeSheetId="1"/>
    <customWorkbookView name="  - Personal View" guid="{EB776EFC-3589-4DB5-BEAF-1E83D9703F9E}" mergeInterval="0" personalView="1" maximized="1" windowWidth="1020" windowHeight="632" tabRatio="601" activeSheetId="3"/>
    <customWorkbookView name="rgrossman - Personal View" guid="{FBB4BF8E-8A9F-4E98-A6F9-5F9BF4C55C67}" mergeInterval="0" personalView="1" maximized="1" windowWidth="796" windowHeight="411" tabRatio="601" activeSheetId="5"/>
    <customWorkbookView name="akoffman - Personal View" guid="{6EF643BE-69F3-424E-8A44-3890161370D4}" mergeInterval="0" personalView="1" maximized="1" windowWidth="796" windowHeight="411" tabRatio="601" activeSheetId="5"/>
    <customWorkbookView name="dandrepont - Personal View" guid="{1ECE83C7-A3CE-4F97-BFD3-498FF783C0D9}" mergeInterval="0" personalView="1" xWindow="365" yWindow="33" windowWidth="649" windowHeight="528" tabRatio="734" activeSheetId="5"/>
    <customWorkbookView name="NYC - Personal View" guid="{560D4AFA-61E5-46C3-B0CD-D0EB3053A033}" mergeInterval="0" personalView="1" maximized="1" windowWidth="994" windowHeight="554" tabRatio="734" activeSheetId="10" showComments="commIndAndComment"/>
  </customWorkbookViews>
</workbook>
</file>

<file path=xl/calcChain.xml><?xml version="1.0" encoding="utf-8"?>
<calcChain xmlns="http://schemas.openxmlformats.org/spreadsheetml/2006/main">
  <c r="I8" i="5" l="1"/>
  <c r="I9" i="5"/>
  <c r="I13" i="5"/>
  <c r="I14" i="5"/>
  <c r="I15" i="5"/>
  <c r="I17" i="5"/>
  <c r="I20" i="5"/>
  <c r="I21" i="5"/>
  <c r="I22" i="5"/>
  <c r="I23" i="5"/>
  <c r="I24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D42" i="5"/>
  <c r="J42" i="5"/>
  <c r="I45" i="5"/>
  <c r="I46" i="5"/>
  <c r="I47" i="5"/>
  <c r="I48" i="5"/>
  <c r="I49" i="5"/>
  <c r="I50" i="5"/>
  <c r="I51" i="5"/>
  <c r="I55" i="5"/>
  <c r="I56" i="5"/>
  <c r="I57" i="5"/>
  <c r="I61" i="5"/>
  <c r="I62" i="5"/>
  <c r="I63" i="5"/>
  <c r="I64" i="5"/>
  <c r="I65" i="5"/>
  <c r="I66" i="5"/>
  <c r="I67" i="5"/>
  <c r="I68" i="5"/>
  <c r="I69" i="5"/>
  <c r="I74" i="5"/>
  <c r="I76" i="5"/>
  <c r="I25" i="5"/>
  <c r="I58" i="5"/>
  <c r="D68" i="4"/>
  <c r="C38" i="6"/>
  <c r="D57" i="4"/>
  <c r="C37" i="6"/>
  <c r="E24" i="5"/>
  <c r="C19" i="2"/>
  <c r="C8" i="2"/>
  <c r="C20" i="2"/>
  <c r="C9" i="2"/>
  <c r="D10" i="1"/>
  <c r="D11" i="1"/>
  <c r="D12" i="1"/>
  <c r="D13" i="1"/>
  <c r="D9" i="1"/>
  <c r="J10" i="1"/>
  <c r="J7" i="1"/>
  <c r="J8" i="1"/>
  <c r="J9" i="1"/>
  <c r="J11" i="1"/>
  <c r="J12" i="1"/>
  <c r="K10" i="1"/>
  <c r="I10" i="1"/>
  <c r="H75" i="1"/>
  <c r="H67" i="1"/>
  <c r="I67" i="1"/>
  <c r="H45" i="1"/>
  <c r="I45" i="1"/>
  <c r="H46" i="1"/>
  <c r="I46" i="1"/>
  <c r="H47" i="1"/>
  <c r="I47" i="1"/>
  <c r="H48" i="1"/>
  <c r="I48" i="1"/>
  <c r="H49" i="1"/>
  <c r="I49" i="1"/>
  <c r="H51" i="1"/>
  <c r="I51" i="1"/>
  <c r="H52" i="1"/>
  <c r="I52" i="1"/>
  <c r="H53" i="1"/>
  <c r="I53" i="1"/>
  <c r="H54" i="1"/>
  <c r="I54" i="1"/>
  <c r="H55" i="1"/>
  <c r="I55" i="1"/>
  <c r="H57" i="1"/>
  <c r="I57" i="1"/>
  <c r="H58" i="1"/>
  <c r="I58" i="1"/>
  <c r="H59" i="1"/>
  <c r="I59" i="1"/>
  <c r="H60" i="1"/>
  <c r="I60" i="1"/>
  <c r="H61" i="1"/>
  <c r="I61" i="1"/>
  <c r="H63" i="1"/>
  <c r="I63" i="1"/>
  <c r="H64" i="1"/>
  <c r="I64" i="1"/>
  <c r="H65" i="1"/>
  <c r="I65" i="1"/>
  <c r="H66" i="1"/>
  <c r="I66" i="1"/>
  <c r="H69" i="1"/>
  <c r="I69" i="1"/>
  <c r="H70" i="1"/>
  <c r="I70" i="1"/>
  <c r="H71" i="1"/>
  <c r="I71" i="1"/>
  <c r="H72" i="1"/>
  <c r="I72" i="1"/>
  <c r="H73" i="1"/>
  <c r="I73" i="1"/>
  <c r="I74" i="1"/>
  <c r="C67" i="1"/>
  <c r="C66" i="1"/>
  <c r="C65" i="1"/>
  <c r="C64" i="1"/>
  <c r="C63" i="1"/>
  <c r="B2" i="22"/>
  <c r="B3" i="22"/>
  <c r="I11" i="1"/>
  <c r="I9" i="1"/>
  <c r="I8" i="1"/>
  <c r="I7" i="1"/>
  <c r="I76" i="1"/>
  <c r="M4" i="5"/>
  <c r="K9" i="1"/>
  <c r="B2" i="25"/>
  <c r="B1" i="25"/>
  <c r="B3" i="6"/>
  <c r="B2" i="6"/>
  <c r="B3" i="4"/>
  <c r="B2" i="4"/>
  <c r="B3" i="21"/>
  <c r="B2" i="21"/>
  <c r="B2" i="1"/>
  <c r="B3" i="1"/>
  <c r="B2" i="5"/>
  <c r="B1" i="5"/>
  <c r="E8" i="4"/>
  <c r="E16" i="4"/>
  <c r="E21" i="4"/>
  <c r="F30" i="1"/>
  <c r="E9" i="4"/>
  <c r="E17" i="4"/>
  <c r="C33" i="1"/>
  <c r="F33" i="1"/>
  <c r="E10" i="4"/>
  <c r="C35" i="1"/>
  <c r="F35" i="1"/>
  <c r="E11" i="4"/>
  <c r="E19" i="4"/>
  <c r="D14" i="1"/>
  <c r="D16" i="1"/>
  <c r="F9" i="1"/>
  <c r="F10" i="1"/>
  <c r="F11" i="1"/>
  <c r="F12" i="1"/>
  <c r="F14" i="1"/>
  <c r="F15" i="1"/>
  <c r="F16" i="1"/>
  <c r="G3" i="21"/>
  <c r="F11" i="21"/>
  <c r="F16" i="21"/>
  <c r="F24" i="21"/>
  <c r="F33" i="21"/>
  <c r="F35" i="21"/>
  <c r="F40" i="21"/>
  <c r="F42" i="21"/>
  <c r="E25" i="4"/>
  <c r="C47" i="4"/>
  <c r="F9" i="22"/>
  <c r="G9" i="22"/>
  <c r="E16" i="22"/>
  <c r="F10" i="22"/>
  <c r="E17" i="22"/>
  <c r="F11" i="22"/>
  <c r="E18" i="22"/>
  <c r="F18" i="22"/>
  <c r="F25" i="22"/>
  <c r="F12" i="22"/>
  <c r="E19" i="22"/>
  <c r="E20" i="22"/>
  <c r="F36" i="21"/>
  <c r="F30" i="22"/>
  <c r="F31" i="22"/>
  <c r="F32" i="22"/>
  <c r="F33" i="22"/>
  <c r="F34" i="22"/>
  <c r="G33" i="22"/>
  <c r="H33" i="22"/>
  <c r="I33" i="22"/>
  <c r="J33" i="22"/>
  <c r="K33" i="22"/>
  <c r="L33" i="22"/>
  <c r="M33" i="22"/>
  <c r="N33" i="22"/>
  <c r="O33" i="22"/>
  <c r="P33" i="22"/>
  <c r="Q33" i="22"/>
  <c r="R33" i="22"/>
  <c r="S33" i="22"/>
  <c r="T33" i="22"/>
  <c r="U33" i="22"/>
  <c r="V33" i="22"/>
  <c r="W33" i="22"/>
  <c r="X33" i="22"/>
  <c r="Y33" i="22"/>
  <c r="Z33" i="22"/>
  <c r="AA33" i="22"/>
  <c r="AB33" i="22"/>
  <c r="AC33" i="22"/>
  <c r="AD33" i="22"/>
  <c r="AE33" i="22"/>
  <c r="AF33" i="22"/>
  <c r="AG33" i="22"/>
  <c r="AH33" i="22"/>
  <c r="AI33" i="22"/>
  <c r="K5" i="25"/>
  <c r="K7" i="25"/>
  <c r="C38" i="4"/>
  <c r="K8" i="25"/>
  <c r="E46" i="22"/>
  <c r="F46" i="22"/>
  <c r="E47" i="22"/>
  <c r="F47" i="22"/>
  <c r="G11" i="22"/>
  <c r="G30" i="22"/>
  <c r="G31" i="22"/>
  <c r="G32" i="22"/>
  <c r="G34" i="22"/>
  <c r="G46" i="22"/>
  <c r="G47" i="22"/>
  <c r="H11" i="22"/>
  <c r="H31" i="22"/>
  <c r="H46" i="22"/>
  <c r="H47" i="22"/>
  <c r="I11" i="22"/>
  <c r="I31" i="22"/>
  <c r="J31" i="22"/>
  <c r="K31" i="22"/>
  <c r="L31" i="22"/>
  <c r="M31" i="22"/>
  <c r="N31" i="22"/>
  <c r="O31" i="22"/>
  <c r="P31" i="22"/>
  <c r="Q31" i="22"/>
  <c r="R31" i="22"/>
  <c r="S31" i="22"/>
  <c r="T31" i="22"/>
  <c r="U31" i="22"/>
  <c r="V31" i="22"/>
  <c r="W31" i="22"/>
  <c r="X31" i="22"/>
  <c r="Y31" i="22"/>
  <c r="Z31" i="22"/>
  <c r="AA31" i="22"/>
  <c r="AB31" i="22"/>
  <c r="AC31" i="22"/>
  <c r="AD31" i="22"/>
  <c r="AE31" i="22"/>
  <c r="AF31" i="22"/>
  <c r="AG31" i="22"/>
  <c r="AH31" i="22"/>
  <c r="AI31" i="22"/>
  <c r="I46" i="22"/>
  <c r="I47" i="22"/>
  <c r="J46" i="22"/>
  <c r="J47" i="22"/>
  <c r="K46" i="22"/>
  <c r="K47" i="22"/>
  <c r="L46" i="22"/>
  <c r="L47" i="22"/>
  <c r="M46" i="22"/>
  <c r="M47" i="22"/>
  <c r="N46" i="22"/>
  <c r="N47" i="22"/>
  <c r="O46" i="22"/>
  <c r="O47" i="22"/>
  <c r="P46" i="22"/>
  <c r="P47" i="22"/>
  <c r="Q46" i="22"/>
  <c r="Q47" i="22"/>
  <c r="R46" i="22"/>
  <c r="R47" i="22"/>
  <c r="S46" i="22"/>
  <c r="S47" i="22"/>
  <c r="T46" i="22"/>
  <c r="T47" i="22"/>
  <c r="U46" i="22"/>
  <c r="U47" i="22"/>
  <c r="V46" i="22"/>
  <c r="V47" i="22"/>
  <c r="W46" i="22"/>
  <c r="W47" i="22"/>
  <c r="X46" i="22"/>
  <c r="X47" i="22"/>
  <c r="Y46" i="22"/>
  <c r="Y47" i="22"/>
  <c r="Z46" i="22"/>
  <c r="Z47" i="22"/>
  <c r="AA46" i="22"/>
  <c r="AA47" i="22"/>
  <c r="AB46" i="22"/>
  <c r="AB47" i="22"/>
  <c r="AC46" i="22"/>
  <c r="AC47" i="22"/>
  <c r="AD46" i="22"/>
  <c r="AD47" i="22"/>
  <c r="AE46" i="22"/>
  <c r="AE47" i="22"/>
  <c r="AF46" i="22"/>
  <c r="AF47" i="22"/>
  <c r="AG46" i="22"/>
  <c r="AG47" i="22"/>
  <c r="AH46" i="22"/>
  <c r="AH47" i="22"/>
  <c r="AI46" i="22"/>
  <c r="AI47" i="22"/>
  <c r="D2" i="4"/>
  <c r="E2" i="22"/>
  <c r="C39" i="4"/>
  <c r="C62" i="4"/>
  <c r="C73" i="4"/>
  <c r="B21" i="2"/>
  <c r="B20" i="2"/>
  <c r="B19" i="2"/>
  <c r="B9" i="2"/>
  <c r="B8" i="2"/>
  <c r="D38" i="6"/>
  <c r="E38" i="6"/>
  <c r="C17" i="6"/>
  <c r="F38" i="6"/>
  <c r="G38" i="6"/>
  <c r="D47" i="5"/>
  <c r="E17" i="5"/>
  <c r="E15" i="5"/>
  <c r="C31" i="2"/>
  <c r="D58" i="5"/>
  <c r="J58" i="5"/>
  <c r="J17" i="5"/>
  <c r="J13" i="5"/>
  <c r="E14" i="5"/>
  <c r="E20" i="5"/>
  <c r="E23" i="5"/>
  <c r="C32" i="2"/>
  <c r="D32" i="2"/>
  <c r="C12" i="6"/>
  <c r="G21" i="1"/>
  <c r="O42" i="22"/>
  <c r="P42" i="22"/>
  <c r="Q42" i="22"/>
  <c r="R42" i="22"/>
  <c r="S42" i="22"/>
  <c r="T42" i="22"/>
  <c r="U42" i="22"/>
  <c r="V42" i="22"/>
  <c r="W42" i="22"/>
  <c r="X42" i="22"/>
  <c r="Y42" i="22"/>
  <c r="Z42" i="22"/>
  <c r="AA42" i="22"/>
  <c r="AB42" i="22"/>
  <c r="AC42" i="22"/>
  <c r="AD42" i="22"/>
  <c r="AE42" i="22"/>
  <c r="AF42" i="22"/>
  <c r="AG42" i="22"/>
  <c r="AH42" i="22"/>
  <c r="AI42" i="22"/>
  <c r="AI41" i="22"/>
  <c r="AH41" i="22"/>
  <c r="AG41" i="22"/>
  <c r="AF41" i="22"/>
  <c r="AE41" i="22"/>
  <c r="AD41" i="22"/>
  <c r="AC41" i="22"/>
  <c r="AB41" i="22"/>
  <c r="AA41" i="22"/>
  <c r="Z41" i="22"/>
  <c r="Y41" i="22"/>
  <c r="X41" i="22"/>
  <c r="W41" i="22"/>
  <c r="V41" i="22"/>
  <c r="U41" i="22"/>
  <c r="T41" i="22"/>
  <c r="S41" i="22"/>
  <c r="R41" i="22"/>
  <c r="Q41" i="22"/>
  <c r="P41" i="22"/>
  <c r="O41" i="22"/>
  <c r="E42" i="22"/>
  <c r="E41" i="22"/>
  <c r="C42" i="22"/>
  <c r="C41" i="22"/>
  <c r="E49" i="22"/>
  <c r="E48" i="22"/>
  <c r="D90" i="4"/>
  <c r="D96" i="4"/>
  <c r="D79" i="4"/>
  <c r="D85" i="4"/>
  <c r="D47" i="22"/>
  <c r="F119" i="1"/>
  <c r="F118" i="1"/>
  <c r="E117" i="1"/>
  <c r="F117" i="1"/>
  <c r="H113" i="1"/>
  <c r="G113" i="1"/>
  <c r="H112" i="1"/>
  <c r="G112" i="1"/>
  <c r="F112" i="1"/>
  <c r="E112" i="1"/>
  <c r="D112" i="1"/>
  <c r="F106" i="1"/>
  <c r="I105" i="1"/>
  <c r="I104" i="1"/>
  <c r="B16" i="4"/>
  <c r="B20" i="4"/>
  <c r="B19" i="4"/>
  <c r="B18" i="4"/>
  <c r="B17" i="4"/>
  <c r="F13" i="1"/>
  <c r="G16" i="1"/>
  <c r="E423" i="25"/>
  <c r="J14" i="5"/>
  <c r="J15" i="5"/>
  <c r="D12" i="6"/>
  <c r="C15" i="25"/>
  <c r="C16" i="25"/>
  <c r="C17" i="25"/>
  <c r="C18" i="25"/>
  <c r="C19" i="25"/>
  <c r="C20" i="25"/>
  <c r="C21" i="25"/>
  <c r="C22" i="25"/>
  <c r="C23" i="25"/>
  <c r="C24" i="25"/>
  <c r="C25" i="25"/>
  <c r="C26" i="25"/>
  <c r="C27" i="25"/>
  <c r="C28" i="25"/>
  <c r="C29" i="25"/>
  <c r="C30" i="25"/>
  <c r="C31" i="25"/>
  <c r="C32" i="25"/>
  <c r="C33" i="25"/>
  <c r="C34" i="25"/>
  <c r="C35" i="25"/>
  <c r="C36" i="25"/>
  <c r="C37" i="25"/>
  <c r="C38" i="25"/>
  <c r="C39" i="25"/>
  <c r="C40" i="25"/>
  <c r="C41" i="25"/>
  <c r="C42" i="25"/>
  <c r="C43" i="25"/>
  <c r="C44" i="25"/>
  <c r="C45" i="25"/>
  <c r="C46" i="25"/>
  <c r="C47" i="25"/>
  <c r="C48" i="25"/>
  <c r="C49" i="25"/>
  <c r="C50" i="25"/>
  <c r="C51" i="25"/>
  <c r="C52" i="25"/>
  <c r="C53" i="25"/>
  <c r="C54" i="25"/>
  <c r="C55" i="25"/>
  <c r="C56" i="25"/>
  <c r="C57" i="25"/>
  <c r="C58" i="25"/>
  <c r="C59" i="25"/>
  <c r="C60" i="25"/>
  <c r="C61" i="25"/>
  <c r="C62" i="25"/>
  <c r="C63" i="25"/>
  <c r="C64" i="25"/>
  <c r="C65" i="25"/>
  <c r="C66" i="25"/>
  <c r="C67" i="25"/>
  <c r="C68" i="25"/>
  <c r="C69" i="25"/>
  <c r="C70" i="25"/>
  <c r="C71" i="25"/>
  <c r="C72" i="25"/>
  <c r="C73" i="25"/>
  <c r="C74" i="25"/>
  <c r="C75" i="25"/>
  <c r="C76" i="25"/>
  <c r="C77" i="25"/>
  <c r="C78" i="25"/>
  <c r="C79" i="25"/>
  <c r="C80" i="25"/>
  <c r="C81" i="25"/>
  <c r="C82" i="25"/>
  <c r="C83" i="25"/>
  <c r="C84" i="25"/>
  <c r="C85" i="25"/>
  <c r="C86" i="25"/>
  <c r="C87" i="25"/>
  <c r="C88" i="25"/>
  <c r="C89" i="25"/>
  <c r="C90" i="25"/>
  <c r="C91" i="25"/>
  <c r="C92" i="25"/>
  <c r="C93" i="25"/>
  <c r="C94" i="25"/>
  <c r="C95" i="25"/>
  <c r="C96" i="25"/>
  <c r="C97" i="25"/>
  <c r="C98" i="25"/>
  <c r="C99" i="25"/>
  <c r="C100" i="25"/>
  <c r="C101" i="25"/>
  <c r="C102" i="25"/>
  <c r="C103" i="25"/>
  <c r="C104" i="25"/>
  <c r="C105" i="25"/>
  <c r="C106" i="25"/>
  <c r="C107" i="25"/>
  <c r="C108" i="25"/>
  <c r="C109" i="25"/>
  <c r="C110" i="25"/>
  <c r="C111" i="25"/>
  <c r="C112" i="25"/>
  <c r="C113" i="25"/>
  <c r="C114" i="25"/>
  <c r="C115" i="25"/>
  <c r="C116" i="25"/>
  <c r="C117" i="25"/>
  <c r="C118" i="25"/>
  <c r="C119" i="25"/>
  <c r="C120" i="25"/>
  <c r="C121" i="25"/>
  <c r="C122" i="25"/>
  <c r="C123" i="25"/>
  <c r="C124" i="25"/>
  <c r="C125" i="25"/>
  <c r="C126" i="25"/>
  <c r="C127" i="25"/>
  <c r="C128" i="25"/>
  <c r="C129" i="25"/>
  <c r="C130" i="25"/>
  <c r="C131" i="25"/>
  <c r="C132" i="25"/>
  <c r="C133" i="25"/>
  <c r="C134" i="25"/>
  <c r="C135" i="25"/>
  <c r="C136" i="25"/>
  <c r="C137" i="25"/>
  <c r="C138" i="25"/>
  <c r="C139" i="25"/>
  <c r="C140" i="25"/>
  <c r="C141" i="25"/>
  <c r="C142" i="25"/>
  <c r="C143" i="25"/>
  <c r="C144" i="25"/>
  <c r="C145" i="25"/>
  <c r="C146" i="25"/>
  <c r="C147" i="25"/>
  <c r="C148" i="25"/>
  <c r="C149" i="25"/>
  <c r="C150" i="25"/>
  <c r="C151" i="25"/>
  <c r="C152" i="25"/>
  <c r="C153" i="25"/>
  <c r="C154" i="25"/>
  <c r="C155" i="25"/>
  <c r="C156" i="25"/>
  <c r="C157" i="25"/>
  <c r="C158" i="25"/>
  <c r="C159" i="25"/>
  <c r="C160" i="25"/>
  <c r="C161" i="25"/>
  <c r="C162" i="25"/>
  <c r="C163" i="25"/>
  <c r="C164" i="25"/>
  <c r="C165" i="25"/>
  <c r="C166" i="25"/>
  <c r="C167" i="25"/>
  <c r="C168" i="25"/>
  <c r="C169" i="25"/>
  <c r="C170" i="25"/>
  <c r="C171" i="25"/>
  <c r="C172" i="25"/>
  <c r="C173" i="25"/>
  <c r="C174" i="25"/>
  <c r="C175" i="25"/>
  <c r="C176" i="25"/>
  <c r="C177" i="25"/>
  <c r="C178" i="25"/>
  <c r="C179" i="25"/>
  <c r="C180" i="25"/>
  <c r="C181" i="25"/>
  <c r="C182" i="25"/>
  <c r="C183" i="25"/>
  <c r="C184" i="25"/>
  <c r="C185" i="25"/>
  <c r="C186" i="25"/>
  <c r="C187" i="25"/>
  <c r="C188" i="25"/>
  <c r="C189" i="25"/>
  <c r="C190" i="25"/>
  <c r="C191" i="25"/>
  <c r="C192" i="25"/>
  <c r="C193" i="25"/>
  <c r="C194" i="25"/>
  <c r="C195" i="25"/>
  <c r="C196" i="25"/>
  <c r="C197" i="25"/>
  <c r="C198" i="25"/>
  <c r="C199" i="25"/>
  <c r="C200" i="25"/>
  <c r="C201" i="25"/>
  <c r="C202" i="25"/>
  <c r="C203" i="25"/>
  <c r="C204" i="25"/>
  <c r="C205" i="25"/>
  <c r="C206" i="25"/>
  <c r="C207" i="25"/>
  <c r="C208" i="25"/>
  <c r="C209" i="25"/>
  <c r="C210" i="25"/>
  <c r="C211" i="25"/>
  <c r="C212" i="25"/>
  <c r="C213" i="25"/>
  <c r="C214" i="25"/>
  <c r="C215" i="25"/>
  <c r="C216" i="25"/>
  <c r="C217" i="25"/>
  <c r="C218" i="25"/>
  <c r="C219" i="25"/>
  <c r="C220" i="25"/>
  <c r="C221" i="25"/>
  <c r="C222" i="25"/>
  <c r="C223" i="25"/>
  <c r="C224" i="25"/>
  <c r="C225" i="25"/>
  <c r="C226" i="25"/>
  <c r="C227" i="25"/>
  <c r="C228" i="25"/>
  <c r="C229" i="25"/>
  <c r="C230" i="25"/>
  <c r="C231" i="25"/>
  <c r="C232" i="25"/>
  <c r="C233" i="25"/>
  <c r="C234" i="25"/>
  <c r="C235" i="25"/>
  <c r="C236" i="25"/>
  <c r="C237" i="25"/>
  <c r="C238" i="25"/>
  <c r="C239" i="25"/>
  <c r="C240" i="25"/>
  <c r="C241" i="25"/>
  <c r="C242" i="25"/>
  <c r="C243" i="25"/>
  <c r="C244" i="25"/>
  <c r="C245" i="25"/>
  <c r="C246" i="25"/>
  <c r="C247" i="25"/>
  <c r="C248" i="25"/>
  <c r="C249" i="25"/>
  <c r="C250" i="25"/>
  <c r="C251" i="25"/>
  <c r="C252" i="25"/>
  <c r="C253" i="25"/>
  <c r="C254" i="25"/>
  <c r="C255" i="25"/>
  <c r="C256" i="25"/>
  <c r="C257" i="25"/>
  <c r="C258" i="25"/>
  <c r="C259" i="25"/>
  <c r="C260" i="25"/>
  <c r="C261" i="25"/>
  <c r="C262" i="25"/>
  <c r="C263" i="25"/>
  <c r="C264" i="25"/>
  <c r="C265" i="25"/>
  <c r="C266" i="25"/>
  <c r="C267" i="25"/>
  <c r="C268" i="25"/>
  <c r="C269" i="25"/>
  <c r="C270" i="25"/>
  <c r="C271" i="25"/>
  <c r="C272" i="25"/>
  <c r="C273" i="25"/>
  <c r="C274" i="25"/>
  <c r="C275" i="25"/>
  <c r="C276" i="25"/>
  <c r="C277" i="25"/>
  <c r="C278" i="25"/>
  <c r="C279" i="25"/>
  <c r="C280" i="25"/>
  <c r="C281" i="25"/>
  <c r="C282" i="25"/>
  <c r="C283" i="25"/>
  <c r="C284" i="25"/>
  <c r="C285" i="25"/>
  <c r="C286" i="25"/>
  <c r="C287" i="25"/>
  <c r="C288" i="25"/>
  <c r="C289" i="25"/>
  <c r="C290" i="25"/>
  <c r="C291" i="25"/>
  <c r="C292" i="25"/>
  <c r="C293" i="25"/>
  <c r="C294" i="25"/>
  <c r="C295" i="25"/>
  <c r="C296" i="25"/>
  <c r="C297" i="25"/>
  <c r="C298" i="25"/>
  <c r="C299" i="25"/>
  <c r="C300" i="25"/>
  <c r="C301" i="25"/>
  <c r="C302" i="25"/>
  <c r="C303" i="25"/>
  <c r="C304" i="25"/>
  <c r="C305" i="25"/>
  <c r="C306" i="25"/>
  <c r="C307" i="25"/>
  <c r="C308" i="25"/>
  <c r="C309" i="25"/>
  <c r="C310" i="25"/>
  <c r="C311" i="25"/>
  <c r="C312" i="25"/>
  <c r="C313" i="25"/>
  <c r="C314" i="25"/>
  <c r="C315" i="25"/>
  <c r="C316" i="25"/>
  <c r="C317" i="25"/>
  <c r="C318" i="25"/>
  <c r="C319" i="25"/>
  <c r="C320" i="25"/>
  <c r="C321" i="25"/>
  <c r="C322" i="25"/>
  <c r="C323" i="25"/>
  <c r="C324" i="25"/>
  <c r="C325" i="25"/>
  <c r="C326" i="25"/>
  <c r="C327" i="25"/>
  <c r="C328" i="25"/>
  <c r="C329" i="25"/>
  <c r="C330" i="25"/>
  <c r="C331" i="25"/>
  <c r="C332" i="25"/>
  <c r="C333" i="25"/>
  <c r="C334" i="25"/>
  <c r="C335" i="25"/>
  <c r="C336" i="25"/>
  <c r="C337" i="25"/>
  <c r="C338" i="25"/>
  <c r="C339" i="25"/>
  <c r="C340" i="25"/>
  <c r="C341" i="25"/>
  <c r="C342" i="25"/>
  <c r="C343" i="25"/>
  <c r="C344" i="25"/>
  <c r="C345" i="25"/>
  <c r="C346" i="25"/>
  <c r="C347" i="25"/>
  <c r="C348" i="25"/>
  <c r="C349" i="25"/>
  <c r="C350" i="25"/>
  <c r="C351" i="25"/>
  <c r="C352" i="25"/>
  <c r="C353" i="25"/>
  <c r="C354" i="25"/>
  <c r="C355" i="25"/>
  <c r="C356" i="25"/>
  <c r="C357" i="25"/>
  <c r="C358" i="25"/>
  <c r="C359" i="25"/>
  <c r="C360" i="25"/>
  <c r="C361" i="25"/>
  <c r="C362" i="25"/>
  <c r="C363" i="25"/>
  <c r="C364" i="25"/>
  <c r="C365" i="25"/>
  <c r="C366" i="25"/>
  <c r="C367" i="25"/>
  <c r="C368" i="25"/>
  <c r="C369" i="25"/>
  <c r="C370" i="25"/>
  <c r="C371" i="25"/>
  <c r="C372" i="25"/>
  <c r="C373" i="25"/>
  <c r="C374" i="25"/>
  <c r="C375" i="25"/>
  <c r="C376" i="25"/>
  <c r="C377" i="25"/>
  <c r="C378" i="25"/>
  <c r="C379" i="25"/>
  <c r="C380" i="25"/>
  <c r="C381" i="25"/>
  <c r="C382" i="25"/>
  <c r="C383" i="25"/>
  <c r="C384" i="25"/>
  <c r="C385" i="25"/>
  <c r="C386" i="25"/>
  <c r="C387" i="25"/>
  <c r="I421" i="25"/>
  <c r="I418" i="25"/>
  <c r="I420" i="25"/>
  <c r="I419" i="25"/>
  <c r="I426" i="25"/>
  <c r="I434" i="25"/>
  <c r="I427" i="25"/>
  <c r="I435" i="25"/>
  <c r="I428" i="25"/>
  <c r="I429" i="25"/>
  <c r="I423" i="25"/>
  <c r="I422" i="25"/>
  <c r="I430" i="25"/>
  <c r="I424" i="25"/>
  <c r="I432" i="25"/>
  <c r="I425" i="25"/>
  <c r="I433" i="25"/>
  <c r="I431" i="25"/>
  <c r="D37" i="6"/>
  <c r="E37" i="6"/>
  <c r="C23" i="6"/>
  <c r="D35" i="6"/>
  <c r="B16" i="25"/>
  <c r="C26" i="22"/>
  <c r="C19" i="22"/>
  <c r="C12" i="22"/>
  <c r="C31" i="22"/>
  <c r="D25" i="5"/>
  <c r="D9" i="5"/>
  <c r="B13" i="2"/>
  <c r="B12" i="2"/>
  <c r="D40" i="22"/>
  <c r="D39" i="22"/>
  <c r="C40" i="22"/>
  <c r="C39" i="22"/>
  <c r="E39" i="22"/>
  <c r="E38" i="22"/>
  <c r="E40" i="22"/>
  <c r="E43" i="22"/>
  <c r="C13" i="22"/>
  <c r="C27" i="22"/>
  <c r="C25" i="22"/>
  <c r="C24" i="22"/>
  <c r="C23" i="22"/>
  <c r="C20" i="22"/>
  <c r="C18" i="22"/>
  <c r="C17" i="22"/>
  <c r="C16" i="22"/>
  <c r="C11" i="22"/>
  <c r="C10" i="22"/>
  <c r="C9" i="22"/>
  <c r="C73" i="1"/>
  <c r="C72" i="1"/>
  <c r="C71" i="1"/>
  <c r="C70" i="1"/>
  <c r="C69" i="1"/>
  <c r="C61" i="1"/>
  <c r="C60" i="1"/>
  <c r="C59" i="1"/>
  <c r="C58" i="1"/>
  <c r="C57" i="1"/>
  <c r="C55" i="1"/>
  <c r="C54" i="1"/>
  <c r="C53" i="1"/>
  <c r="C52" i="1"/>
  <c r="C51" i="1"/>
  <c r="C46" i="1"/>
  <c r="C47" i="1"/>
  <c r="C48" i="1"/>
  <c r="C49" i="1"/>
  <c r="C45" i="1"/>
  <c r="E49" i="5"/>
  <c r="E48" i="5"/>
  <c r="E21" i="5"/>
  <c r="E22" i="5"/>
  <c r="E13" i="5"/>
  <c r="B12" i="4"/>
  <c r="B11" i="4"/>
  <c r="B10" i="4"/>
  <c r="B9" i="4"/>
  <c r="C33" i="22"/>
  <c r="AK11" i="22"/>
  <c r="D24" i="1"/>
  <c r="B23" i="1"/>
  <c r="G22" i="1"/>
  <c r="G20" i="1"/>
  <c r="G23" i="1"/>
  <c r="D17" i="6"/>
  <c r="F49" i="5"/>
  <c r="D15" i="6"/>
  <c r="D16" i="6"/>
  <c r="B18" i="2"/>
  <c r="C38" i="22"/>
  <c r="E383" i="25"/>
  <c r="E391" i="25"/>
  <c r="E407" i="25"/>
  <c r="E415" i="25"/>
  <c r="E430" i="25"/>
  <c r="E384" i="25"/>
  <c r="E400" i="25"/>
  <c r="E408" i="25"/>
  <c r="C388" i="25"/>
  <c r="C389" i="25"/>
  <c r="C390" i="25"/>
  <c r="C391" i="25"/>
  <c r="C392" i="25"/>
  <c r="C393" i="25"/>
  <c r="C394" i="25"/>
  <c r="C395" i="25"/>
  <c r="C396" i="25"/>
  <c r="C397" i="25"/>
  <c r="C398" i="25"/>
  <c r="C399" i="25"/>
  <c r="C400" i="25"/>
  <c r="G400" i="25"/>
  <c r="G401" i="25"/>
  <c r="G402" i="25"/>
  <c r="G403" i="25"/>
  <c r="G404" i="25"/>
  <c r="G405" i="25"/>
  <c r="G406" i="25"/>
  <c r="G407" i="25"/>
  <c r="G408" i="25"/>
  <c r="I406" i="25"/>
  <c r="E382" i="25"/>
  <c r="E377" i="25"/>
  <c r="E393" i="25"/>
  <c r="E401" i="25"/>
  <c r="E433" i="25"/>
  <c r="E378" i="25"/>
  <c r="E394" i="25"/>
  <c r="E402" i="25"/>
  <c r="I400" i="25"/>
  <c r="E434" i="25"/>
  <c r="E414" i="25"/>
  <c r="E387" i="25"/>
  <c r="E395" i="25"/>
  <c r="E427" i="25"/>
  <c r="E435" i="25"/>
  <c r="E380" i="25"/>
  <c r="E388" i="25"/>
  <c r="G388" i="25"/>
  <c r="I386" i="25"/>
  <c r="E420" i="25"/>
  <c r="E428" i="25"/>
  <c r="E381" i="25"/>
  <c r="E389" i="25"/>
  <c r="E421" i="25"/>
  <c r="E429" i="25"/>
  <c r="F35" i="6"/>
  <c r="C28" i="2"/>
  <c r="D28" i="2"/>
  <c r="F37" i="6"/>
  <c r="G37" i="6"/>
  <c r="D46" i="5"/>
  <c r="F34" i="6"/>
  <c r="C29" i="2"/>
  <c r="J25" i="5"/>
  <c r="D63" i="4"/>
  <c r="E422" i="25"/>
  <c r="E390" i="25"/>
  <c r="E406" i="25"/>
  <c r="E379" i="25"/>
  <c r="E386" i="25"/>
  <c r="E385" i="25"/>
  <c r="E392" i="25"/>
  <c r="E399" i="25"/>
  <c r="G389" i="25"/>
  <c r="G390" i="25"/>
  <c r="G391" i="25"/>
  <c r="G392" i="25"/>
  <c r="G393" i="25"/>
  <c r="G394" i="25"/>
  <c r="G395" i="25"/>
  <c r="G396" i="25"/>
  <c r="G397" i="25"/>
  <c r="G398" i="25"/>
  <c r="G399" i="25"/>
  <c r="I397" i="25"/>
  <c r="E413" i="25"/>
  <c r="C401" i="25"/>
  <c r="C402" i="25"/>
  <c r="C403" i="25"/>
  <c r="C404" i="25"/>
  <c r="C405" i="25"/>
  <c r="C406" i="25"/>
  <c r="C407" i="25"/>
  <c r="C408" i="25"/>
  <c r="C409" i="25"/>
  <c r="C410" i="25"/>
  <c r="C411" i="25"/>
  <c r="C412" i="25"/>
  <c r="G412" i="25"/>
  <c r="G413" i="25"/>
  <c r="I411" i="25"/>
  <c r="E412" i="25"/>
  <c r="E419" i="25"/>
  <c r="E426" i="25"/>
  <c r="E425" i="25"/>
  <c r="E432" i="25"/>
  <c r="E398" i="25"/>
  <c r="E405" i="25"/>
  <c r="E404" i="25"/>
  <c r="I402" i="25"/>
  <c r="J400" i="25"/>
  <c r="J401" i="25"/>
  <c r="J402" i="25"/>
  <c r="B17" i="25"/>
  <c r="B18" i="25"/>
  <c r="B19" i="25"/>
  <c r="B20" i="25"/>
  <c r="B21" i="25"/>
  <c r="B22" i="25"/>
  <c r="B23" i="25"/>
  <c r="B24" i="25"/>
  <c r="B25" i="25"/>
  <c r="B26" i="25"/>
  <c r="B27" i="25"/>
  <c r="B28" i="25"/>
  <c r="B29" i="25"/>
  <c r="B30" i="25"/>
  <c r="B31" i="25"/>
  <c r="B32" i="25"/>
  <c r="B33" i="25"/>
  <c r="B34" i="25"/>
  <c r="B35" i="25"/>
  <c r="B36" i="25"/>
  <c r="B37" i="25"/>
  <c r="B38" i="25"/>
  <c r="B39" i="25"/>
  <c r="B40" i="25"/>
  <c r="B41" i="25"/>
  <c r="B42" i="25"/>
  <c r="B43" i="25"/>
  <c r="B44" i="25"/>
  <c r="B45" i="25"/>
  <c r="B46" i="25"/>
  <c r="B47" i="25"/>
  <c r="B48" i="25"/>
  <c r="B49" i="25"/>
  <c r="B50" i="25"/>
  <c r="B51" i="25"/>
  <c r="B52" i="25"/>
  <c r="B53" i="25"/>
  <c r="B54" i="25"/>
  <c r="B55" i="25"/>
  <c r="B56" i="25"/>
  <c r="B57" i="25"/>
  <c r="B58" i="25"/>
  <c r="B59" i="25"/>
  <c r="B60" i="25"/>
  <c r="B61" i="25"/>
  <c r="B62" i="25"/>
  <c r="B63" i="25"/>
  <c r="B64" i="25"/>
  <c r="B65" i="25"/>
  <c r="B66" i="25"/>
  <c r="B67" i="25"/>
  <c r="B68" i="25"/>
  <c r="B69" i="25"/>
  <c r="B70" i="25"/>
  <c r="B71" i="25"/>
  <c r="B72" i="25"/>
  <c r="B73" i="25"/>
  <c r="B74" i="25"/>
  <c r="B75" i="25"/>
  <c r="B76" i="25"/>
  <c r="B77" i="25"/>
  <c r="B78" i="25"/>
  <c r="B79" i="25"/>
  <c r="B80" i="25"/>
  <c r="B81" i="25"/>
  <c r="B82" i="25"/>
  <c r="B83" i="25"/>
  <c r="B84" i="25"/>
  <c r="B85" i="25"/>
  <c r="B86" i="25"/>
  <c r="B87" i="25"/>
  <c r="B88" i="25"/>
  <c r="B89" i="25"/>
  <c r="B90" i="25"/>
  <c r="B91" i="25"/>
  <c r="B92" i="25"/>
  <c r="B93" i="25"/>
  <c r="B94" i="25"/>
  <c r="B95" i="25"/>
  <c r="B96" i="25"/>
  <c r="B97" i="25"/>
  <c r="B98" i="25"/>
  <c r="B99" i="25"/>
  <c r="B100" i="25"/>
  <c r="B101" i="25"/>
  <c r="B102" i="25"/>
  <c r="B103" i="25"/>
  <c r="B104" i="25"/>
  <c r="B105" i="25"/>
  <c r="B106" i="25"/>
  <c r="B107" i="25"/>
  <c r="B108" i="25"/>
  <c r="B109" i="25"/>
  <c r="B110" i="25"/>
  <c r="B111" i="25"/>
  <c r="B112" i="25"/>
  <c r="B113" i="25"/>
  <c r="B114" i="25"/>
  <c r="B115" i="25"/>
  <c r="B116" i="25"/>
  <c r="B117" i="25"/>
  <c r="B118" i="25"/>
  <c r="B119" i="25"/>
  <c r="B120" i="25"/>
  <c r="B121" i="25"/>
  <c r="B122" i="25"/>
  <c r="B123" i="25"/>
  <c r="B124" i="25"/>
  <c r="B125" i="25"/>
  <c r="B126" i="25"/>
  <c r="B127" i="25"/>
  <c r="B128" i="25"/>
  <c r="B129" i="25"/>
  <c r="B130" i="25"/>
  <c r="B131" i="25"/>
  <c r="B132" i="25"/>
  <c r="B133" i="25"/>
  <c r="B134" i="25"/>
  <c r="B135" i="25"/>
  <c r="B136" i="25"/>
  <c r="B137" i="25"/>
  <c r="B138" i="25"/>
  <c r="B139" i="25"/>
  <c r="B140" i="25"/>
  <c r="B141" i="25"/>
  <c r="B142" i="25"/>
  <c r="B143" i="25"/>
  <c r="B144" i="25"/>
  <c r="B145" i="25"/>
  <c r="B146" i="25"/>
  <c r="B147" i="25"/>
  <c r="B148" i="25"/>
  <c r="B149" i="25"/>
  <c r="B150" i="25"/>
  <c r="B151" i="25"/>
  <c r="B152" i="25"/>
  <c r="B153" i="25"/>
  <c r="B154" i="25"/>
  <c r="B155" i="25"/>
  <c r="B156" i="25"/>
  <c r="B157" i="25"/>
  <c r="B158" i="25"/>
  <c r="B159" i="25"/>
  <c r="B160" i="25"/>
  <c r="B161" i="25"/>
  <c r="B162" i="25"/>
  <c r="B163" i="25"/>
  <c r="B164" i="25"/>
  <c r="B165" i="25"/>
  <c r="B166" i="25"/>
  <c r="B167" i="25"/>
  <c r="B168" i="25"/>
  <c r="B169" i="25"/>
  <c r="B170" i="25"/>
  <c r="B171" i="25"/>
  <c r="B172" i="25"/>
  <c r="B173" i="25"/>
  <c r="B174" i="25"/>
  <c r="B175" i="25"/>
  <c r="B176" i="25"/>
  <c r="B177" i="25"/>
  <c r="B178" i="25"/>
  <c r="B179" i="25"/>
  <c r="B180" i="25"/>
  <c r="B181" i="25"/>
  <c r="B182" i="25"/>
  <c r="B183" i="25"/>
  <c r="B184" i="25"/>
  <c r="B185" i="25"/>
  <c r="B186" i="25"/>
  <c r="B187" i="25"/>
  <c r="B188" i="25"/>
  <c r="B189" i="25"/>
  <c r="B190" i="25"/>
  <c r="B191" i="25"/>
  <c r="B192" i="25"/>
  <c r="B193" i="25"/>
  <c r="B194" i="25"/>
  <c r="B195" i="25"/>
  <c r="B196" i="25"/>
  <c r="B197" i="25"/>
  <c r="B198" i="25"/>
  <c r="B199" i="25"/>
  <c r="B200" i="25"/>
  <c r="B201" i="25"/>
  <c r="B202" i="25"/>
  <c r="B203" i="25"/>
  <c r="B204" i="25"/>
  <c r="B205" i="25"/>
  <c r="B206" i="25"/>
  <c r="B207" i="25"/>
  <c r="B208" i="25"/>
  <c r="B209" i="25"/>
  <c r="B210" i="25"/>
  <c r="B211" i="25"/>
  <c r="B212" i="25"/>
  <c r="B213" i="25"/>
  <c r="B214" i="25"/>
  <c r="B215" i="25"/>
  <c r="B216" i="25"/>
  <c r="B217" i="25"/>
  <c r="B218" i="25"/>
  <c r="B219" i="25"/>
  <c r="B220" i="25"/>
  <c r="B221" i="25"/>
  <c r="B222" i="25"/>
  <c r="B223" i="25"/>
  <c r="B224" i="25"/>
  <c r="B225" i="25"/>
  <c r="B226" i="25"/>
  <c r="B227" i="25"/>
  <c r="B228" i="25"/>
  <c r="B229" i="25"/>
  <c r="B230" i="25"/>
  <c r="B231" i="25"/>
  <c r="B232" i="25"/>
  <c r="B233" i="25"/>
  <c r="B234" i="25"/>
  <c r="B235" i="25"/>
  <c r="B236" i="25"/>
  <c r="B237" i="25"/>
  <c r="B238" i="25"/>
  <c r="B239" i="25"/>
  <c r="B240" i="25"/>
  <c r="B241" i="25"/>
  <c r="B242" i="25"/>
  <c r="B243" i="25"/>
  <c r="B244" i="25"/>
  <c r="B245" i="25"/>
  <c r="B246" i="25"/>
  <c r="B247" i="25"/>
  <c r="B248" i="25"/>
  <c r="B249" i="25"/>
  <c r="B250" i="25"/>
  <c r="B251" i="25"/>
  <c r="B252" i="25"/>
  <c r="B253" i="25"/>
  <c r="B254" i="25"/>
  <c r="B255" i="25"/>
  <c r="B256" i="25"/>
  <c r="B257" i="25"/>
  <c r="B258" i="25"/>
  <c r="B259" i="25"/>
  <c r="B260" i="25"/>
  <c r="B261" i="25"/>
  <c r="B262" i="25"/>
  <c r="B263" i="25"/>
  <c r="B264" i="25"/>
  <c r="B265" i="25"/>
  <c r="B266" i="25"/>
  <c r="B267" i="25"/>
  <c r="B268" i="25"/>
  <c r="B269" i="25"/>
  <c r="B270" i="25"/>
  <c r="B271" i="25"/>
  <c r="B272" i="25"/>
  <c r="B273" i="25"/>
  <c r="B274" i="25"/>
  <c r="B275" i="25"/>
  <c r="B276" i="25"/>
  <c r="B277" i="25"/>
  <c r="B278" i="25"/>
  <c r="B279" i="25"/>
  <c r="B280" i="25"/>
  <c r="B281" i="25"/>
  <c r="B282" i="25"/>
  <c r="B283" i="25"/>
  <c r="B284" i="25"/>
  <c r="B285" i="25"/>
  <c r="B286" i="25"/>
  <c r="B287" i="25"/>
  <c r="B288" i="25"/>
  <c r="B289" i="25"/>
  <c r="B290" i="25"/>
  <c r="B291" i="25"/>
  <c r="B292" i="25"/>
  <c r="B293" i="25"/>
  <c r="B294" i="25"/>
  <c r="B295" i="25"/>
  <c r="B296" i="25"/>
  <c r="B297" i="25"/>
  <c r="B298" i="25"/>
  <c r="B299" i="25"/>
  <c r="B300" i="25"/>
  <c r="B301" i="25"/>
  <c r="B302" i="25"/>
  <c r="B303" i="25"/>
  <c r="B304" i="25"/>
  <c r="B305" i="25"/>
  <c r="B306" i="25"/>
  <c r="B307" i="25"/>
  <c r="B308" i="25"/>
  <c r="B309" i="25"/>
  <c r="B310" i="25"/>
  <c r="B311" i="25"/>
  <c r="B312" i="25"/>
  <c r="B313" i="25"/>
  <c r="B314" i="25"/>
  <c r="B315" i="25"/>
  <c r="B316" i="25"/>
  <c r="B317" i="25"/>
  <c r="B318" i="25"/>
  <c r="B319" i="25"/>
  <c r="B320" i="25"/>
  <c r="B321" i="25"/>
  <c r="B322" i="25"/>
  <c r="B323" i="25"/>
  <c r="B324" i="25"/>
  <c r="B325" i="25"/>
  <c r="B326" i="25"/>
  <c r="B327" i="25"/>
  <c r="B328" i="25"/>
  <c r="B329" i="25"/>
  <c r="B330" i="25"/>
  <c r="B331" i="25"/>
  <c r="B332" i="25"/>
  <c r="B333" i="25"/>
  <c r="B334" i="25"/>
  <c r="B335" i="25"/>
  <c r="B336" i="25"/>
  <c r="B337" i="25"/>
  <c r="B338" i="25"/>
  <c r="B339" i="25"/>
  <c r="B340" i="25"/>
  <c r="B341" i="25"/>
  <c r="B342" i="25"/>
  <c r="B343" i="25"/>
  <c r="B344" i="25"/>
  <c r="B345" i="25"/>
  <c r="B346" i="25"/>
  <c r="B347" i="25"/>
  <c r="B348" i="25"/>
  <c r="B349" i="25"/>
  <c r="B350" i="25"/>
  <c r="B351" i="25"/>
  <c r="B352" i="25"/>
  <c r="B353" i="25"/>
  <c r="B354" i="25"/>
  <c r="B355" i="25"/>
  <c r="B356" i="25"/>
  <c r="B357" i="25"/>
  <c r="B358" i="25"/>
  <c r="B359" i="25"/>
  <c r="B360" i="25"/>
  <c r="B361" i="25"/>
  <c r="B362" i="25"/>
  <c r="B363" i="25"/>
  <c r="B364" i="25"/>
  <c r="B365" i="25"/>
  <c r="B366" i="25"/>
  <c r="B367" i="25"/>
  <c r="B368" i="25"/>
  <c r="B369" i="25"/>
  <c r="B370" i="25"/>
  <c r="B371" i="25"/>
  <c r="B372" i="25"/>
  <c r="B373" i="25"/>
  <c r="B374" i="25"/>
  <c r="B375" i="25"/>
  <c r="B376" i="25"/>
  <c r="B377" i="25"/>
  <c r="B378" i="25"/>
  <c r="B379" i="25"/>
  <c r="B380" i="25"/>
  <c r="B381" i="25"/>
  <c r="B382" i="25"/>
  <c r="B383" i="25"/>
  <c r="B384" i="25"/>
  <c r="B385" i="25"/>
  <c r="B386" i="25"/>
  <c r="B387" i="25"/>
  <c r="B388" i="25"/>
  <c r="B389" i="25"/>
  <c r="B390" i="25"/>
  <c r="B391" i="25"/>
  <c r="B392" i="25"/>
  <c r="B393" i="25"/>
  <c r="B394" i="25"/>
  <c r="B395" i="25"/>
  <c r="B396" i="25"/>
  <c r="B397" i="25"/>
  <c r="B398" i="25"/>
  <c r="B399" i="25"/>
  <c r="B400" i="25"/>
  <c r="B401" i="25"/>
  <c r="B402" i="25"/>
  <c r="D402" i="25"/>
  <c r="F402" i="25"/>
  <c r="L402" i="25"/>
  <c r="E411" i="25"/>
  <c r="E418" i="25"/>
  <c r="E417" i="25"/>
  <c r="E424" i="25"/>
  <c r="E431" i="25"/>
  <c r="E397" i="25"/>
  <c r="E396" i="25"/>
  <c r="E403" i="25"/>
  <c r="I401" i="25"/>
  <c r="E410" i="25"/>
  <c r="E409" i="25"/>
  <c r="E416" i="25"/>
  <c r="K11" i="25"/>
  <c r="C11" i="6"/>
  <c r="D34" i="6"/>
  <c r="D74" i="4"/>
  <c r="I106" i="1"/>
  <c r="G24" i="1"/>
  <c r="B22" i="1"/>
  <c r="B20" i="1"/>
  <c r="E25" i="5"/>
  <c r="F121" i="1"/>
  <c r="B21" i="1"/>
  <c r="J32" i="21"/>
  <c r="J388" i="25"/>
  <c r="J389" i="25"/>
  <c r="J390" i="25"/>
  <c r="J391" i="25"/>
  <c r="J392" i="25"/>
  <c r="J393" i="25"/>
  <c r="J394" i="25"/>
  <c r="J395" i="25"/>
  <c r="J396" i="25"/>
  <c r="J397" i="25"/>
  <c r="J398" i="25"/>
  <c r="J399" i="25"/>
  <c r="J403" i="25"/>
  <c r="J404" i="25"/>
  <c r="J405" i="25"/>
  <c r="J406" i="25"/>
  <c r="J407" i="25"/>
  <c r="J408" i="25"/>
  <c r="J409" i="25"/>
  <c r="J410" i="25"/>
  <c r="J411" i="25"/>
  <c r="C413" i="25"/>
  <c r="C414" i="25"/>
  <c r="C415" i="25"/>
  <c r="C416" i="25"/>
  <c r="C417" i="25"/>
  <c r="C418" i="25"/>
  <c r="C419" i="25"/>
  <c r="C420" i="25"/>
  <c r="C421" i="25"/>
  <c r="C422" i="25"/>
  <c r="C423" i="25"/>
  <c r="I398" i="25"/>
  <c r="I399" i="25"/>
  <c r="J412" i="25"/>
  <c r="J413" i="25"/>
  <c r="J414" i="25"/>
  <c r="J415" i="25"/>
  <c r="J416" i="25"/>
  <c r="J417" i="25"/>
  <c r="J418" i="25"/>
  <c r="J419" i="25"/>
  <c r="J420" i="25"/>
  <c r="J421" i="25"/>
  <c r="J422" i="25"/>
  <c r="J423" i="25"/>
  <c r="C424" i="25"/>
  <c r="C425" i="25"/>
  <c r="C426" i="25"/>
  <c r="C427" i="25"/>
  <c r="C428" i="25"/>
  <c r="C429" i="25"/>
  <c r="C430" i="25"/>
  <c r="C431" i="25"/>
  <c r="C432" i="25"/>
  <c r="C433" i="25"/>
  <c r="C434" i="25"/>
  <c r="C435" i="25"/>
  <c r="I387" i="25"/>
  <c r="J424" i="25"/>
  <c r="J425" i="25"/>
  <c r="J426" i="25"/>
  <c r="J427" i="25"/>
  <c r="J428" i="25"/>
  <c r="J429" i="25"/>
  <c r="J430" i="25"/>
  <c r="J431" i="25"/>
  <c r="J432" i="25"/>
  <c r="J433" i="25"/>
  <c r="J434" i="25"/>
  <c r="J435" i="25"/>
  <c r="G424" i="25"/>
  <c r="G425" i="25"/>
  <c r="G426" i="25"/>
  <c r="G427" i="25"/>
  <c r="G428" i="25"/>
  <c r="G429" i="25"/>
  <c r="G430" i="25"/>
  <c r="G431" i="25"/>
  <c r="G432" i="25"/>
  <c r="G433" i="25"/>
  <c r="G434" i="25"/>
  <c r="G435" i="25"/>
  <c r="I388" i="25"/>
  <c r="I410" i="25"/>
  <c r="I389" i="25"/>
  <c r="G414" i="25"/>
  <c r="I390" i="25"/>
  <c r="I412" i="25"/>
  <c r="G415" i="25"/>
  <c r="G72" i="5"/>
  <c r="I391" i="25"/>
  <c r="I403" i="25"/>
  <c r="G416" i="25"/>
  <c r="I413" i="25"/>
  <c r="I392" i="25"/>
  <c r="I404" i="25"/>
  <c r="G417" i="25"/>
  <c r="I414" i="25"/>
  <c r="I405" i="25"/>
  <c r="G418" i="25"/>
  <c r="I415" i="25"/>
  <c r="I393" i="25"/>
  <c r="I394" i="25"/>
  <c r="G409" i="25"/>
  <c r="G419" i="25"/>
  <c r="G420" i="25"/>
  <c r="G421" i="25"/>
  <c r="G422" i="25"/>
  <c r="G423" i="25"/>
  <c r="I416" i="25"/>
  <c r="G410" i="25"/>
  <c r="I407" i="25"/>
  <c r="I395" i="25"/>
  <c r="I396" i="25"/>
  <c r="G411" i="25"/>
  <c r="I409" i="25"/>
  <c r="I408" i="25"/>
  <c r="D376" i="25"/>
  <c r="D377" i="25"/>
  <c r="F377" i="25"/>
  <c r="D378" i="25"/>
  <c r="F378" i="25"/>
  <c r="D379" i="25"/>
  <c r="F379" i="25"/>
  <c r="D380" i="25"/>
  <c r="F380" i="25"/>
  <c r="D381" i="25"/>
  <c r="F381" i="25"/>
  <c r="D382" i="25"/>
  <c r="F382" i="25"/>
  <c r="D383" i="25"/>
  <c r="F383" i="25"/>
  <c r="D384" i="25"/>
  <c r="F384" i="25"/>
  <c r="D385" i="25"/>
  <c r="F385" i="25"/>
  <c r="D386" i="25"/>
  <c r="F386" i="25"/>
  <c r="D387" i="25"/>
  <c r="F387" i="25"/>
  <c r="D388" i="25"/>
  <c r="F388" i="25"/>
  <c r="L388" i="25"/>
  <c r="D389" i="25"/>
  <c r="F389" i="25"/>
  <c r="L389" i="25"/>
  <c r="D390" i="25"/>
  <c r="F390" i="25"/>
  <c r="L390" i="25"/>
  <c r="D391" i="25"/>
  <c r="F391" i="25"/>
  <c r="L391" i="25"/>
  <c r="D392" i="25"/>
  <c r="F392" i="25"/>
  <c r="L392" i="25"/>
  <c r="D393" i="25"/>
  <c r="F393" i="25"/>
  <c r="L393" i="25"/>
  <c r="D394" i="25"/>
  <c r="F394" i="25"/>
  <c r="L394" i="25"/>
  <c r="D395" i="25"/>
  <c r="F395" i="25"/>
  <c r="L395" i="25"/>
  <c r="D396" i="25"/>
  <c r="F396" i="25"/>
  <c r="L396" i="25"/>
  <c r="D397" i="25"/>
  <c r="F397" i="25"/>
  <c r="D398" i="25"/>
  <c r="F398" i="25"/>
  <c r="L398" i="25"/>
  <c r="D399" i="25"/>
  <c r="F399" i="25"/>
  <c r="L399" i="25"/>
  <c r="D400" i="25"/>
  <c r="F400" i="25"/>
  <c r="D401" i="25"/>
  <c r="F401" i="25"/>
  <c r="L401" i="25"/>
  <c r="B403" i="25"/>
  <c r="D403" i="25"/>
  <c r="F403" i="25"/>
  <c r="L403" i="25"/>
  <c r="B404" i="25"/>
  <c r="D404" i="25"/>
  <c r="F404" i="25"/>
  <c r="L404" i="25"/>
  <c r="B405" i="25"/>
  <c r="B406" i="25"/>
  <c r="D405" i="25"/>
  <c r="F405" i="25"/>
  <c r="L405" i="25"/>
  <c r="D406" i="25"/>
  <c r="F406" i="25"/>
  <c r="B407" i="25"/>
  <c r="D407" i="25"/>
  <c r="F407" i="25"/>
  <c r="L407" i="25"/>
  <c r="B408" i="25"/>
  <c r="B409" i="25"/>
  <c r="D408" i="25"/>
  <c r="F408" i="25"/>
  <c r="L408" i="25"/>
  <c r="D409" i="25"/>
  <c r="F409" i="25"/>
  <c r="L409" i="25"/>
  <c r="B410" i="25"/>
  <c r="D410" i="25"/>
  <c r="F410" i="25"/>
  <c r="L410" i="25"/>
  <c r="B411" i="25"/>
  <c r="D411" i="25"/>
  <c r="F411" i="25"/>
  <c r="L411" i="25"/>
  <c r="B412" i="25"/>
  <c r="D412" i="25"/>
  <c r="F412" i="25"/>
  <c r="L412" i="25"/>
  <c r="B413" i="25"/>
  <c r="B414" i="25"/>
  <c r="D413" i="25"/>
  <c r="F413" i="25"/>
  <c r="L413" i="25"/>
  <c r="B415" i="25"/>
  <c r="D414" i="25"/>
  <c r="F414" i="25"/>
  <c r="L414" i="25"/>
  <c r="B416" i="25"/>
  <c r="D415" i="25"/>
  <c r="F415" i="25"/>
  <c r="L415" i="25"/>
  <c r="D416" i="25"/>
  <c r="F416" i="25"/>
  <c r="L416" i="25"/>
  <c r="B417" i="25"/>
  <c r="D417" i="25"/>
  <c r="F417" i="25"/>
  <c r="B418" i="25"/>
  <c r="D418" i="25"/>
  <c r="F418" i="25"/>
  <c r="L418" i="25"/>
  <c r="B419" i="25"/>
  <c r="D419" i="25"/>
  <c r="F419" i="25"/>
  <c r="L419" i="25"/>
  <c r="B420" i="25"/>
  <c r="B421" i="25"/>
  <c r="D420" i="25"/>
  <c r="F420" i="25"/>
  <c r="L420" i="25"/>
  <c r="B422" i="25"/>
  <c r="D421" i="25"/>
  <c r="F421" i="25"/>
  <c r="L421" i="25"/>
  <c r="B423" i="25"/>
  <c r="D422" i="25"/>
  <c r="F422" i="25"/>
  <c r="L422" i="25"/>
  <c r="D423" i="25"/>
  <c r="F423" i="25"/>
  <c r="L423" i="25"/>
  <c r="B424" i="25"/>
  <c r="D424" i="25"/>
  <c r="F424" i="25"/>
  <c r="L424" i="25"/>
  <c r="B425" i="25"/>
  <c r="D425" i="25"/>
  <c r="F425" i="25"/>
  <c r="L425" i="25"/>
  <c r="B426" i="25"/>
  <c r="D426" i="25"/>
  <c r="F426" i="25"/>
  <c r="L426" i="25"/>
  <c r="B427" i="25"/>
  <c r="D427" i="25"/>
  <c r="F427" i="25"/>
  <c r="L427" i="25"/>
  <c r="B428" i="25"/>
  <c r="B429" i="25"/>
  <c r="D428" i="25"/>
  <c r="F428" i="25"/>
  <c r="L428" i="25"/>
  <c r="D429" i="25"/>
  <c r="F429" i="25"/>
  <c r="L429" i="25"/>
  <c r="B430" i="25"/>
  <c r="D430" i="25"/>
  <c r="F430" i="25"/>
  <c r="L430" i="25"/>
  <c r="B431" i="25"/>
  <c r="D431" i="25"/>
  <c r="F431" i="25"/>
  <c r="L431" i="25"/>
  <c r="B432" i="25"/>
  <c r="D432" i="25"/>
  <c r="F432" i="25"/>
  <c r="L432" i="25"/>
  <c r="B433" i="25"/>
  <c r="B434" i="25"/>
  <c r="D433" i="25"/>
  <c r="F433" i="25"/>
  <c r="L433" i="25"/>
  <c r="B435" i="25"/>
  <c r="D435" i="25"/>
  <c r="F435" i="25"/>
  <c r="L435" i="25"/>
  <c r="D434" i="25"/>
  <c r="F434" i="25"/>
  <c r="L434" i="25"/>
  <c r="D46" i="22"/>
  <c r="D11" i="6"/>
  <c r="D48" i="22"/>
  <c r="B10" i="2"/>
  <c r="B22" i="2"/>
  <c r="D49" i="22"/>
  <c r="B11" i="2"/>
  <c r="H30" i="22"/>
  <c r="I30" i="22"/>
  <c r="H32" i="22"/>
  <c r="H34" i="22"/>
  <c r="J30" i="22"/>
  <c r="I32" i="22"/>
  <c r="I34" i="22"/>
  <c r="J32" i="22"/>
  <c r="J34" i="22"/>
  <c r="K30" i="22"/>
  <c r="K32" i="22"/>
  <c r="K34" i="22"/>
  <c r="L30" i="22"/>
  <c r="L32" i="22"/>
  <c r="L34" i="22"/>
  <c r="M30" i="22"/>
  <c r="N30" i="22"/>
  <c r="M32" i="22"/>
  <c r="M34" i="22"/>
  <c r="O30" i="22"/>
  <c r="N32" i="22"/>
  <c r="N34" i="22"/>
  <c r="O32" i="22"/>
  <c r="O34" i="22"/>
  <c r="P30" i="22"/>
  <c r="P32" i="22"/>
  <c r="P34" i="22"/>
  <c r="Q30" i="22"/>
  <c r="R30" i="22"/>
  <c r="Q32" i="22"/>
  <c r="Q34" i="22"/>
  <c r="R32" i="22"/>
  <c r="R34" i="22"/>
  <c r="S30" i="22"/>
  <c r="S32" i="22"/>
  <c r="S34" i="22"/>
  <c r="T30" i="22"/>
  <c r="U30" i="22"/>
  <c r="T32" i="22"/>
  <c r="T34" i="22"/>
  <c r="V30" i="22"/>
  <c r="U32" i="22"/>
  <c r="U34" i="22"/>
  <c r="V32" i="22"/>
  <c r="V34" i="22"/>
  <c r="W30" i="22"/>
  <c r="W32" i="22"/>
  <c r="W34" i="22"/>
  <c r="X30" i="22"/>
  <c r="Y30" i="22"/>
  <c r="X32" i="22"/>
  <c r="X34" i="22"/>
  <c r="Z30" i="22"/>
  <c r="Y32" i="22"/>
  <c r="Y34" i="22"/>
  <c r="Z32" i="22"/>
  <c r="Z34" i="22"/>
  <c r="AA30" i="22"/>
  <c r="AA32" i="22"/>
  <c r="AA34" i="22"/>
  <c r="AB30" i="22"/>
  <c r="AC30" i="22"/>
  <c r="AB32" i="22"/>
  <c r="AB34" i="22"/>
  <c r="AD30" i="22"/>
  <c r="AC32" i="22"/>
  <c r="AC34" i="22"/>
  <c r="AD32" i="22"/>
  <c r="AD34" i="22"/>
  <c r="AE30" i="22"/>
  <c r="AE32" i="22"/>
  <c r="AE34" i="22"/>
  <c r="AF30" i="22"/>
  <c r="AG30" i="22"/>
  <c r="AF32" i="22"/>
  <c r="AF34" i="22"/>
  <c r="AH30" i="22"/>
  <c r="AG32" i="22"/>
  <c r="AG34" i="22"/>
  <c r="AH32" i="22"/>
  <c r="AH34" i="22"/>
  <c r="AI30" i="22"/>
  <c r="AI32" i="22"/>
  <c r="AI34" i="22"/>
  <c r="E14" i="21"/>
  <c r="E10" i="21"/>
  <c r="L13" i="21"/>
  <c r="L16" i="21"/>
  <c r="L18" i="21"/>
  <c r="L21" i="21"/>
  <c r="L24" i="21"/>
  <c r="L26" i="21"/>
  <c r="L33" i="21"/>
  <c r="L9" i="21"/>
  <c r="L11" i="21"/>
  <c r="L35" i="21"/>
  <c r="E23" i="21"/>
  <c r="E26" i="21"/>
  <c r="E33" i="21"/>
  <c r="E22" i="21"/>
  <c r="E9" i="21"/>
  <c r="E11" i="21"/>
  <c r="E28" i="21"/>
  <c r="E13" i="21"/>
  <c r="E16" i="21"/>
  <c r="E15" i="21"/>
  <c r="L39" i="21"/>
  <c r="L40" i="21"/>
  <c r="L32" i="21"/>
  <c r="E21" i="21"/>
  <c r="E24" i="21"/>
  <c r="E18" i="21"/>
  <c r="E39" i="21"/>
  <c r="E40" i="21"/>
  <c r="D20" i="2"/>
  <c r="D12" i="2"/>
  <c r="E2" i="6"/>
  <c r="E9" i="5"/>
  <c r="D13" i="2"/>
  <c r="D19" i="2"/>
  <c r="D31" i="2"/>
  <c r="C38" i="1"/>
  <c r="F38" i="1"/>
  <c r="E2" i="1"/>
  <c r="E1" i="2"/>
  <c r="E1" i="5"/>
  <c r="G2" i="21"/>
  <c r="D23" i="21"/>
  <c r="J23" i="21"/>
  <c r="D9" i="2"/>
  <c r="D8" i="2"/>
  <c r="D29" i="2"/>
  <c r="D18" i="21"/>
  <c r="J18" i="21"/>
  <c r="D28" i="21"/>
  <c r="J28" i="21"/>
  <c r="K28" i="21"/>
  <c r="H18" i="22"/>
  <c r="K8" i="1"/>
  <c r="K18" i="21"/>
  <c r="D26" i="21"/>
  <c r="D33" i="21"/>
  <c r="D15" i="21"/>
  <c r="J15" i="21"/>
  <c r="L15" i="21"/>
  <c r="K32" i="21"/>
  <c r="D21" i="21"/>
  <c r="D24" i="21"/>
  <c r="D13" i="21"/>
  <c r="D16" i="21"/>
  <c r="K26" i="21"/>
  <c r="K33" i="21"/>
  <c r="D10" i="21"/>
  <c r="J10" i="21"/>
  <c r="I18" i="22"/>
  <c r="K7" i="1"/>
  <c r="D22" i="21"/>
  <c r="J22" i="21"/>
  <c r="K9" i="21"/>
  <c r="K11" i="21"/>
  <c r="G18" i="22"/>
  <c r="G25" i="22"/>
  <c r="K11" i="1"/>
  <c r="D39" i="21"/>
  <c r="F16" i="22"/>
  <c r="F23" i="22"/>
  <c r="G12" i="22"/>
  <c r="F19" i="22"/>
  <c r="F26" i="22"/>
  <c r="J16" i="21"/>
  <c r="E18" i="4"/>
  <c r="G16" i="22"/>
  <c r="G23" i="22"/>
  <c r="H9" i="22"/>
  <c r="F17" i="22"/>
  <c r="F24" i="22"/>
  <c r="G10" i="22"/>
  <c r="D27" i="21"/>
  <c r="J11" i="22"/>
  <c r="I25" i="22"/>
  <c r="H25" i="22"/>
  <c r="E27" i="21"/>
  <c r="L36" i="21"/>
  <c r="L42" i="21"/>
  <c r="K13" i="21"/>
  <c r="K16" i="21"/>
  <c r="L23" i="21"/>
  <c r="K23" i="21"/>
  <c r="K15" i="21"/>
  <c r="E35" i="21"/>
  <c r="D14" i="21"/>
  <c r="D9" i="21"/>
  <c r="D11" i="21"/>
  <c r="D35" i="21"/>
  <c r="K39" i="21"/>
  <c r="K40" i="21"/>
  <c r="F13" i="22"/>
  <c r="F40" i="1"/>
  <c r="E12" i="4"/>
  <c r="K21" i="21"/>
  <c r="K24" i="21"/>
  <c r="K35" i="21"/>
  <c r="F2" i="22"/>
  <c r="E2" i="4"/>
  <c r="J39" i="21"/>
  <c r="J40" i="21"/>
  <c r="D40" i="21"/>
  <c r="K10" i="21"/>
  <c r="L10" i="21"/>
  <c r="J11" i="21"/>
  <c r="L28" i="21"/>
  <c r="J33" i="21"/>
  <c r="L22" i="21"/>
  <c r="K22" i="21"/>
  <c r="J24" i="21"/>
  <c r="K11" i="22"/>
  <c r="J18" i="22"/>
  <c r="J25" i="22"/>
  <c r="I9" i="22"/>
  <c r="H16" i="22"/>
  <c r="H23" i="22"/>
  <c r="G19" i="22"/>
  <c r="G26" i="22"/>
  <c r="H12" i="22"/>
  <c r="G17" i="22"/>
  <c r="G24" i="22"/>
  <c r="H10" i="22"/>
  <c r="D36" i="21"/>
  <c r="D42" i="21"/>
  <c r="J35" i="21"/>
  <c r="J36" i="21"/>
  <c r="E42" i="21"/>
  <c r="E36" i="21"/>
  <c r="E20" i="4"/>
  <c r="E22" i="4"/>
  <c r="E23" i="4"/>
  <c r="E13" i="4"/>
  <c r="G18" i="21"/>
  <c r="I78" i="1"/>
  <c r="G40" i="1"/>
  <c r="G13" i="22"/>
  <c r="F14" i="22"/>
  <c r="F20" i="22"/>
  <c r="J42" i="21"/>
  <c r="K42" i="21"/>
  <c r="K36" i="21"/>
  <c r="L11" i="22"/>
  <c r="K18" i="22"/>
  <c r="K25" i="22"/>
  <c r="I10" i="22"/>
  <c r="H17" i="22"/>
  <c r="H24" i="22"/>
  <c r="I12" i="22"/>
  <c r="H19" i="22"/>
  <c r="H26" i="22"/>
  <c r="I16" i="22"/>
  <c r="I23" i="22"/>
  <c r="J9" i="22"/>
  <c r="C46" i="4"/>
  <c r="C48" i="4"/>
  <c r="E27" i="4"/>
  <c r="C42" i="4"/>
  <c r="F27" i="22"/>
  <c r="F28" i="22"/>
  <c r="F21" i="22"/>
  <c r="G20" i="22"/>
  <c r="H13" i="22"/>
  <c r="G14" i="22"/>
  <c r="I19" i="22"/>
  <c r="I26" i="22"/>
  <c r="J12" i="22"/>
  <c r="I17" i="22"/>
  <c r="J10" i="22"/>
  <c r="K9" i="22"/>
  <c r="J16" i="22"/>
  <c r="L18" i="22"/>
  <c r="L25" i="22"/>
  <c r="M11" i="22"/>
  <c r="H20" i="22"/>
  <c r="I13" i="22"/>
  <c r="H14" i="22"/>
  <c r="G27" i="22"/>
  <c r="G28" i="22"/>
  <c r="G21" i="22"/>
  <c r="F35" i="22"/>
  <c r="M18" i="22"/>
  <c r="M25" i="22"/>
  <c r="N11" i="22"/>
  <c r="K12" i="22"/>
  <c r="J19" i="22"/>
  <c r="J26" i="22"/>
  <c r="I24" i="22"/>
  <c r="L9" i="22"/>
  <c r="K16" i="22"/>
  <c r="K23" i="22"/>
  <c r="J17" i="22"/>
  <c r="K10" i="22"/>
  <c r="J23" i="22"/>
  <c r="H27" i="22"/>
  <c r="H28" i="22"/>
  <c r="H21" i="22"/>
  <c r="G35" i="22"/>
  <c r="I20" i="22"/>
  <c r="J13" i="22"/>
  <c r="I14" i="22"/>
  <c r="L12" i="22"/>
  <c r="K19" i="22"/>
  <c r="K26" i="22"/>
  <c r="M9" i="22"/>
  <c r="L16" i="22"/>
  <c r="L23" i="22"/>
  <c r="O11" i="22"/>
  <c r="N18" i="22"/>
  <c r="N25" i="22"/>
  <c r="L10" i="22"/>
  <c r="K17" i="22"/>
  <c r="J24" i="22"/>
  <c r="H35" i="22"/>
  <c r="J20" i="22"/>
  <c r="J21" i="22"/>
  <c r="K13" i="22"/>
  <c r="J14" i="22"/>
  <c r="I27" i="22"/>
  <c r="I28" i="22"/>
  <c r="I21" i="22"/>
  <c r="M10" i="22"/>
  <c r="L17" i="22"/>
  <c r="L24" i="22"/>
  <c r="M12" i="22"/>
  <c r="L19" i="22"/>
  <c r="L26" i="22"/>
  <c r="P11" i="22"/>
  <c r="O18" i="22"/>
  <c r="O25" i="22"/>
  <c r="K24" i="22"/>
  <c r="N9" i="22"/>
  <c r="M16" i="22"/>
  <c r="M23" i="22"/>
  <c r="I35" i="22"/>
  <c r="J27" i="22"/>
  <c r="J28" i="22"/>
  <c r="K20" i="22"/>
  <c r="K21" i="22"/>
  <c r="L13" i="22"/>
  <c r="K14" i="22"/>
  <c r="N12" i="22"/>
  <c r="M19" i="22"/>
  <c r="M26" i="22"/>
  <c r="N10" i="22"/>
  <c r="M17" i="22"/>
  <c r="M24" i="22"/>
  <c r="N16" i="22"/>
  <c r="N23" i="22"/>
  <c r="O9" i="22"/>
  <c r="Q11" i="22"/>
  <c r="P18" i="22"/>
  <c r="P25" i="22"/>
  <c r="K27" i="22"/>
  <c r="K28" i="22"/>
  <c r="M13" i="22"/>
  <c r="L20" i="22"/>
  <c r="L14" i="22"/>
  <c r="J35" i="22"/>
  <c r="R11" i="22"/>
  <c r="Q18" i="22"/>
  <c r="Q25" i="22"/>
  <c r="O12" i="22"/>
  <c r="N19" i="22"/>
  <c r="N26" i="22"/>
  <c r="O10" i="22"/>
  <c r="N17" i="22"/>
  <c r="N24" i="22"/>
  <c r="O16" i="22"/>
  <c r="O23" i="22"/>
  <c r="P9" i="22"/>
  <c r="K35" i="22"/>
  <c r="L27" i="22"/>
  <c r="L28" i="22"/>
  <c r="L21" i="22"/>
  <c r="M20" i="22"/>
  <c r="M21" i="22"/>
  <c r="N13" i="22"/>
  <c r="M14" i="22"/>
  <c r="O19" i="22"/>
  <c r="O26" i="22"/>
  <c r="P12" i="22"/>
  <c r="Q9" i="22"/>
  <c r="P16" i="22"/>
  <c r="S11" i="22"/>
  <c r="R18" i="22"/>
  <c r="R25" i="22"/>
  <c r="P10" i="22"/>
  <c r="O17" i="22"/>
  <c r="O24" i="22"/>
  <c r="M27" i="22"/>
  <c r="M28" i="22"/>
  <c r="O13" i="22"/>
  <c r="N20" i="22"/>
  <c r="N21" i="22"/>
  <c r="N27" i="22"/>
  <c r="N28" i="22"/>
  <c r="N14" i="22"/>
  <c r="L35" i="22"/>
  <c r="Q10" i="22"/>
  <c r="P17" i="22"/>
  <c r="P24" i="22"/>
  <c r="P19" i="22"/>
  <c r="Q12" i="22"/>
  <c r="R9" i="22"/>
  <c r="Q16" i="22"/>
  <c r="Q23" i="22"/>
  <c r="T11" i="22"/>
  <c r="S18" i="22"/>
  <c r="S25" i="22"/>
  <c r="P23" i="22"/>
  <c r="N35" i="22"/>
  <c r="M35" i="22"/>
  <c r="P13" i="22"/>
  <c r="O20" i="22"/>
  <c r="O21" i="22"/>
  <c r="O14" i="22"/>
  <c r="R12" i="22"/>
  <c r="Q19" i="22"/>
  <c r="Q26" i="22"/>
  <c r="T18" i="22"/>
  <c r="T25" i="22"/>
  <c r="U11" i="22"/>
  <c r="P26" i="22"/>
  <c r="S9" i="22"/>
  <c r="R16" i="22"/>
  <c r="R23" i="22"/>
  <c r="Q17" i="22"/>
  <c r="Q24" i="22"/>
  <c r="R10" i="22"/>
  <c r="P20" i="22"/>
  <c r="Q13" i="22"/>
  <c r="P14" i="22"/>
  <c r="O27" i="22"/>
  <c r="O28" i="22"/>
  <c r="U18" i="22"/>
  <c r="U25" i="22"/>
  <c r="V11" i="22"/>
  <c r="T9" i="22"/>
  <c r="S16" i="22"/>
  <c r="S23" i="22"/>
  <c r="R17" i="22"/>
  <c r="R24" i="22"/>
  <c r="S10" i="22"/>
  <c r="S12" i="22"/>
  <c r="R19" i="22"/>
  <c r="R26" i="22"/>
  <c r="O35" i="22"/>
  <c r="R13" i="22"/>
  <c r="Q20" i="22"/>
  <c r="Q21" i="22"/>
  <c r="Q14" i="22"/>
  <c r="P27" i="22"/>
  <c r="P28" i="22"/>
  <c r="P21" i="22"/>
  <c r="W11" i="22"/>
  <c r="V18" i="22"/>
  <c r="V25" i="22"/>
  <c r="T12" i="22"/>
  <c r="S19" i="22"/>
  <c r="S26" i="22"/>
  <c r="T10" i="22"/>
  <c r="S17" i="22"/>
  <c r="S24" i="22"/>
  <c r="U9" i="22"/>
  <c r="T16" i="22"/>
  <c r="T23" i="22"/>
  <c r="Q27" i="22"/>
  <c r="Q28" i="22"/>
  <c r="P35" i="22"/>
  <c r="R20" i="22"/>
  <c r="S13" i="22"/>
  <c r="R14" i="22"/>
  <c r="U10" i="22"/>
  <c r="T17" i="22"/>
  <c r="T24" i="22"/>
  <c r="X11" i="22"/>
  <c r="W18" i="22"/>
  <c r="W25" i="22"/>
  <c r="V9" i="22"/>
  <c r="U16" i="22"/>
  <c r="U23" i="22"/>
  <c r="U12" i="22"/>
  <c r="T19" i="22"/>
  <c r="T26" i="22"/>
  <c r="Q35" i="22"/>
  <c r="S20" i="22"/>
  <c r="T13" i="22"/>
  <c r="S14" i="22"/>
  <c r="R27" i="22"/>
  <c r="R28" i="22"/>
  <c r="R21" i="22"/>
  <c r="V16" i="22"/>
  <c r="V23" i="22"/>
  <c r="W9" i="22"/>
  <c r="V10" i="22"/>
  <c r="U17" i="22"/>
  <c r="U24" i="22"/>
  <c r="V12" i="22"/>
  <c r="U19" i="22"/>
  <c r="U26" i="22"/>
  <c r="Y11" i="22"/>
  <c r="X18" i="22"/>
  <c r="X25" i="22"/>
  <c r="T20" i="22"/>
  <c r="U13" i="22"/>
  <c r="T14" i="22"/>
  <c r="R35" i="22"/>
  <c r="S27" i="22"/>
  <c r="S28" i="22"/>
  <c r="S21" i="22"/>
  <c r="W10" i="22"/>
  <c r="V17" i="22"/>
  <c r="V24" i="22"/>
  <c r="W16" i="22"/>
  <c r="W23" i="22"/>
  <c r="X9" i="22"/>
  <c r="Z11" i="22"/>
  <c r="Y18" i="22"/>
  <c r="Y25" i="22"/>
  <c r="W12" i="22"/>
  <c r="V19" i="22"/>
  <c r="V26" i="22"/>
  <c r="S35" i="22"/>
  <c r="V13" i="22"/>
  <c r="U20" i="22"/>
  <c r="U21" i="22"/>
  <c r="U14" i="22"/>
  <c r="T27" i="22"/>
  <c r="T28" i="22"/>
  <c r="T21" i="22"/>
  <c r="W19" i="22"/>
  <c r="W26" i="22"/>
  <c r="X12" i="22"/>
  <c r="X10" i="22"/>
  <c r="W17" i="22"/>
  <c r="W24" i="22"/>
  <c r="AA11" i="22"/>
  <c r="Z18" i="22"/>
  <c r="Z25" i="22"/>
  <c r="Y9" i="22"/>
  <c r="X16" i="22"/>
  <c r="U27" i="22"/>
  <c r="U28" i="22"/>
  <c r="U35" i="22"/>
  <c r="T35" i="22"/>
  <c r="V20" i="22"/>
  <c r="W13" i="22"/>
  <c r="V14" i="22"/>
  <c r="X19" i="22"/>
  <c r="X26" i="22"/>
  <c r="Y12" i="22"/>
  <c r="AB11" i="22"/>
  <c r="AA18" i="22"/>
  <c r="AA25" i="22"/>
  <c r="Z9" i="22"/>
  <c r="Y16" i="22"/>
  <c r="Y23" i="22"/>
  <c r="Y10" i="22"/>
  <c r="X17" i="22"/>
  <c r="X24" i="22"/>
  <c r="X23" i="22"/>
  <c r="V27" i="22"/>
  <c r="V28" i="22"/>
  <c r="V21" i="22"/>
  <c r="W20" i="22"/>
  <c r="W21" i="22"/>
  <c r="W27" i="22"/>
  <c r="W28" i="22"/>
  <c r="X13" i="22"/>
  <c r="W14" i="22"/>
  <c r="AB18" i="22"/>
  <c r="AB25" i="22"/>
  <c r="AC11" i="22"/>
  <c r="Z12" i="22"/>
  <c r="Y19" i="22"/>
  <c r="Y26" i="22"/>
  <c r="Y17" i="22"/>
  <c r="Y24" i="22"/>
  <c r="Z10" i="22"/>
  <c r="AA9" i="22"/>
  <c r="Z16" i="22"/>
  <c r="Y13" i="22"/>
  <c r="X20" i="22"/>
  <c r="X21" i="22"/>
  <c r="X14" i="22"/>
  <c r="W35" i="22"/>
  <c r="V35" i="22"/>
  <c r="AB9" i="22"/>
  <c r="AA16" i="22"/>
  <c r="AA23" i="22"/>
  <c r="AC18" i="22"/>
  <c r="AC25" i="22"/>
  <c r="AD11" i="22"/>
  <c r="AA12" i="22"/>
  <c r="Z19" i="22"/>
  <c r="Z26" i="22"/>
  <c r="Z17" i="22"/>
  <c r="Z24" i="22"/>
  <c r="AA10" i="22"/>
  <c r="Z23" i="22"/>
  <c r="Z13" i="22"/>
  <c r="Y20" i="22"/>
  <c r="Y21" i="22"/>
  <c r="Y27" i="22"/>
  <c r="Y28" i="22"/>
  <c r="Y14" i="22"/>
  <c r="X27" i="22"/>
  <c r="X28" i="22"/>
  <c r="AB12" i="22"/>
  <c r="AA19" i="22"/>
  <c r="AA26" i="22"/>
  <c r="AC9" i="22"/>
  <c r="AB16" i="22"/>
  <c r="AB23" i="22"/>
  <c r="AB10" i="22"/>
  <c r="AA17" i="22"/>
  <c r="AE11" i="22"/>
  <c r="AD18" i="22"/>
  <c r="AD25" i="22"/>
  <c r="Y35" i="22"/>
  <c r="X35" i="22"/>
  <c r="Z20" i="22"/>
  <c r="AA13" i="22"/>
  <c r="Z14" i="22"/>
  <c r="AC10" i="22"/>
  <c r="AB17" i="22"/>
  <c r="AB24" i="22"/>
  <c r="AA24" i="22"/>
  <c r="AF11" i="22"/>
  <c r="AE18" i="22"/>
  <c r="AE25" i="22"/>
  <c r="AC12" i="22"/>
  <c r="AB19" i="22"/>
  <c r="AD9" i="22"/>
  <c r="AC16" i="22"/>
  <c r="AC23" i="22"/>
  <c r="AA20" i="22"/>
  <c r="AA21" i="22"/>
  <c r="AB13" i="22"/>
  <c r="AA14" i="22"/>
  <c r="Z27" i="22"/>
  <c r="Z28" i="22"/>
  <c r="Z21" i="22"/>
  <c r="AB26" i="22"/>
  <c r="AD12" i="22"/>
  <c r="AC19" i="22"/>
  <c r="AC26" i="22"/>
  <c r="AD16" i="22"/>
  <c r="AD23" i="22"/>
  <c r="AE9" i="22"/>
  <c r="AG11" i="22"/>
  <c r="AF18" i="22"/>
  <c r="AF25" i="22"/>
  <c r="AD10" i="22"/>
  <c r="AC17" i="22"/>
  <c r="Z35" i="22"/>
  <c r="AB20" i="22"/>
  <c r="AB21" i="22"/>
  <c r="AB27" i="22"/>
  <c r="AB28" i="22"/>
  <c r="AB35" i="22"/>
  <c r="AC13" i="22"/>
  <c r="AB14" i="22"/>
  <c r="AA27" i="22"/>
  <c r="AA28" i="22"/>
  <c r="AC24" i="22"/>
  <c r="AE16" i="22"/>
  <c r="AE23" i="22"/>
  <c r="AF9" i="22"/>
  <c r="AE12" i="22"/>
  <c r="AD19" i="22"/>
  <c r="AD26" i="22"/>
  <c r="AE10" i="22"/>
  <c r="AD17" i="22"/>
  <c r="AH11" i="22"/>
  <c r="AG18" i="22"/>
  <c r="AG25" i="22"/>
  <c r="AD13" i="22"/>
  <c r="AC20" i="22"/>
  <c r="AC21" i="22"/>
  <c r="AC14" i="22"/>
  <c r="AA35" i="22"/>
  <c r="AD24" i="22"/>
  <c r="AE19" i="22"/>
  <c r="AE26" i="22"/>
  <c r="AF12" i="22"/>
  <c r="AG9" i="22"/>
  <c r="AF16" i="22"/>
  <c r="AF23" i="22"/>
  <c r="AF10" i="22"/>
  <c r="AE17" i="22"/>
  <c r="AE24" i="22"/>
  <c r="AI11" i="22"/>
  <c r="AH18" i="22"/>
  <c r="AH25" i="22"/>
  <c r="AE13" i="22"/>
  <c r="AD20" i="22"/>
  <c r="AD21" i="22"/>
  <c r="AD14" i="22"/>
  <c r="AC27" i="22"/>
  <c r="AC28" i="22"/>
  <c r="AH9" i="22"/>
  <c r="AG16" i="22"/>
  <c r="AG23" i="22"/>
  <c r="AI18" i="22"/>
  <c r="AI25" i="22"/>
  <c r="AF19" i="22"/>
  <c r="AF26" i="22"/>
  <c r="AG12" i="22"/>
  <c r="AG10" i="22"/>
  <c r="AF17" i="22"/>
  <c r="AF24" i="22"/>
  <c r="AC35" i="22"/>
  <c r="AD27" i="22"/>
  <c r="AD28" i="22"/>
  <c r="AF13" i="22"/>
  <c r="AE20" i="22"/>
  <c r="AE14" i="22"/>
  <c r="AG17" i="22"/>
  <c r="AG24" i="22"/>
  <c r="AH10" i="22"/>
  <c r="AI9" i="22"/>
  <c r="AH16" i="22"/>
  <c r="AH23" i="22"/>
  <c r="AH12" i="22"/>
  <c r="AG19" i="22"/>
  <c r="AE27" i="22"/>
  <c r="AE28" i="22"/>
  <c r="AE21" i="22"/>
  <c r="AG13" i="22"/>
  <c r="AF20" i="22"/>
  <c r="AF14" i="22"/>
  <c r="AD35" i="22"/>
  <c r="AI12" i="22"/>
  <c r="AH19" i="22"/>
  <c r="AH26" i="22"/>
  <c r="AH17" i="22"/>
  <c r="AH24" i="22"/>
  <c r="AI10" i="22"/>
  <c r="AG26" i="22"/>
  <c r="AI16" i="22"/>
  <c r="AI23" i="22"/>
  <c r="AH13" i="22"/>
  <c r="AG20" i="22"/>
  <c r="AG14" i="22"/>
  <c r="AF27" i="22"/>
  <c r="AF28" i="22"/>
  <c r="AF21" i="22"/>
  <c r="AE35" i="22"/>
  <c r="AI17" i="22"/>
  <c r="AI24" i="22"/>
  <c r="AI19" i="22"/>
  <c r="AI26" i="22"/>
  <c r="AG27" i="22"/>
  <c r="AG28" i="22"/>
  <c r="AG21" i="22"/>
  <c r="AF35" i="22"/>
  <c r="AI13" i="22"/>
  <c r="AH20" i="22"/>
  <c r="AH21" i="22"/>
  <c r="AH14" i="22"/>
  <c r="AI20" i="22"/>
  <c r="AI14" i="22"/>
  <c r="AH27" i="22"/>
  <c r="AH28" i="22"/>
  <c r="AG35" i="22"/>
  <c r="AH35" i="22"/>
  <c r="AI27" i="22"/>
  <c r="AI28" i="22"/>
  <c r="AI21" i="22"/>
  <c r="AI35" i="22"/>
  <c r="C21" i="2"/>
  <c r="C84" i="4"/>
  <c r="I52" i="5"/>
  <c r="J9" i="5"/>
  <c r="I70" i="5"/>
  <c r="L406" i="25"/>
  <c r="L397" i="25"/>
  <c r="L400" i="25"/>
  <c r="P48" i="22"/>
  <c r="AB48" i="22"/>
  <c r="L48" i="22"/>
  <c r="AD48" i="22"/>
  <c r="AG48" i="22"/>
  <c r="AF48" i="22"/>
  <c r="O48" i="22"/>
  <c r="I48" i="22"/>
  <c r="AA48" i="22"/>
  <c r="X48" i="22"/>
  <c r="AE48" i="22"/>
  <c r="AI48" i="22"/>
  <c r="V48" i="22"/>
  <c r="F48" i="22"/>
  <c r="AH48" i="22"/>
  <c r="T48" i="22"/>
  <c r="J48" i="22"/>
  <c r="R48" i="22"/>
  <c r="G48" i="22"/>
  <c r="S48" i="22"/>
  <c r="N48" i="22"/>
  <c r="M48" i="22"/>
  <c r="Z48" i="22"/>
  <c r="AC48" i="22"/>
  <c r="Y48" i="22"/>
  <c r="U48" i="22"/>
  <c r="W48" i="22"/>
  <c r="D21" i="2"/>
  <c r="C10" i="2"/>
  <c r="H48" i="22"/>
  <c r="K48" i="22"/>
  <c r="Q48" i="22"/>
  <c r="I72" i="5"/>
  <c r="I78" i="5"/>
  <c r="C95" i="4"/>
  <c r="C43" i="4"/>
  <c r="C52" i="4"/>
  <c r="C18" i="2"/>
  <c r="C6" i="2"/>
  <c r="C7" i="2"/>
  <c r="D10" i="2"/>
  <c r="C50" i="4"/>
  <c r="C22" i="2"/>
  <c r="N2" i="5"/>
  <c r="N3" i="5"/>
  <c r="N4" i="5"/>
  <c r="N5" i="5"/>
  <c r="N6" i="5"/>
  <c r="N7" i="5"/>
  <c r="C23" i="2"/>
  <c r="D23" i="2"/>
  <c r="C5" i="25"/>
  <c r="D294" i="25"/>
  <c r="D6" i="2"/>
  <c r="D323" i="25"/>
  <c r="D370" i="25"/>
  <c r="D226" i="25"/>
  <c r="D194" i="25"/>
  <c r="D215" i="25"/>
  <c r="D355" i="25"/>
  <c r="D235" i="25"/>
  <c r="D118" i="25"/>
  <c r="D191" i="25"/>
  <c r="D268" i="25"/>
  <c r="D253" i="25"/>
  <c r="D290" i="25"/>
  <c r="D121" i="25"/>
  <c r="D18" i="2"/>
  <c r="D65" i="5"/>
  <c r="D66" i="5"/>
  <c r="C7" i="6"/>
  <c r="D367" i="25"/>
  <c r="D116" i="25"/>
  <c r="D50" i="25"/>
  <c r="D23" i="25"/>
  <c r="D39" i="25"/>
  <c r="D75" i="25"/>
  <c r="D52" i="25"/>
  <c r="D33" i="25"/>
  <c r="D19" i="25"/>
  <c r="D105" i="25"/>
  <c r="D117" i="25"/>
  <c r="D25" i="25"/>
  <c r="D67" i="25"/>
  <c r="D64" i="25"/>
  <c r="D132" i="25"/>
  <c r="D61" i="25"/>
  <c r="D87" i="25"/>
  <c r="D30" i="25"/>
  <c r="D77" i="25"/>
  <c r="D49" i="25"/>
  <c r="D68" i="25"/>
  <c r="D220" i="25"/>
  <c r="D62" i="25"/>
  <c r="D90" i="25"/>
  <c r="D123" i="25"/>
  <c r="D207" i="25"/>
  <c r="D115" i="25"/>
  <c r="D88" i="25"/>
  <c r="D131" i="25"/>
  <c r="D114" i="25"/>
  <c r="D136" i="25"/>
  <c r="D41" i="25"/>
  <c r="D264" i="25"/>
  <c r="D47" i="25"/>
  <c r="D140" i="25"/>
  <c r="D29" i="25"/>
  <c r="D35" i="25"/>
  <c r="D43" i="25"/>
  <c r="D71" i="25"/>
  <c r="D138" i="25"/>
  <c r="D111" i="25"/>
  <c r="D17" i="25"/>
  <c r="D80" i="25"/>
  <c r="D79" i="25"/>
  <c r="D24" i="25"/>
  <c r="D119" i="25"/>
  <c r="D230" i="25"/>
  <c r="D20" i="25"/>
  <c r="D148" i="25"/>
  <c r="D31" i="25"/>
  <c r="D284" i="25"/>
  <c r="D42" i="25"/>
  <c r="D54" i="25"/>
  <c r="D65" i="25"/>
  <c r="D103" i="25"/>
  <c r="D34" i="25"/>
  <c r="D98" i="25"/>
  <c r="D78" i="25"/>
  <c r="D96" i="25"/>
  <c r="D60" i="25"/>
  <c r="D86" i="25"/>
  <c r="D113" i="25"/>
  <c r="D120" i="25"/>
  <c r="D363" i="25"/>
  <c r="D205" i="25"/>
  <c r="D203" i="25"/>
  <c r="D22" i="25"/>
  <c r="D57" i="25"/>
  <c r="D74" i="25"/>
  <c r="D266" i="25"/>
  <c r="D81" i="25"/>
  <c r="D282" i="25"/>
  <c r="D246" i="25"/>
  <c r="D347" i="25"/>
  <c r="D211" i="25"/>
  <c r="D128" i="25"/>
  <c r="D172" i="25"/>
  <c r="D59" i="25"/>
  <c r="D104" i="25"/>
  <c r="D106" i="25"/>
  <c r="D73" i="25"/>
  <c r="D199" i="25"/>
  <c r="D129" i="25"/>
  <c r="D32" i="25"/>
  <c r="D292" i="25"/>
  <c r="D76" i="25"/>
  <c r="D141" i="25"/>
  <c r="D287" i="25"/>
  <c r="D352" i="25"/>
  <c r="D313" i="25"/>
  <c r="D165" i="25"/>
  <c r="D145" i="25"/>
  <c r="D280" i="25"/>
  <c r="D201" i="25"/>
  <c r="D237" i="25"/>
  <c r="D334" i="25"/>
  <c r="D303" i="25"/>
  <c r="D63" i="25"/>
  <c r="D44" i="25"/>
  <c r="D143" i="25"/>
  <c r="D82" i="25"/>
  <c r="D51" i="25"/>
  <c r="D256" i="25"/>
  <c r="D173" i="25"/>
  <c r="D158" i="25"/>
  <c r="D271" i="25"/>
  <c r="D216" i="25"/>
  <c r="D214" i="25"/>
  <c r="D302" i="25"/>
  <c r="D18" i="25"/>
  <c r="D122" i="25"/>
  <c r="D195" i="25"/>
  <c r="D70" i="25"/>
  <c r="D244" i="25"/>
  <c r="D175" i="25"/>
  <c r="D56" i="25"/>
  <c r="D210" i="25"/>
  <c r="D166" i="25"/>
  <c r="D242" i="25"/>
  <c r="D89" i="25"/>
  <c r="D154" i="25"/>
  <c r="D183" i="25"/>
  <c r="D28" i="25"/>
  <c r="D182" i="25"/>
  <c r="D108" i="25"/>
  <c r="D254" i="25"/>
  <c r="D177" i="25"/>
  <c r="D151" i="25"/>
  <c r="D366" i="25"/>
  <c r="D147" i="25"/>
  <c r="D126" i="25"/>
  <c r="D137" i="25"/>
  <c r="D238" i="25"/>
  <c r="D149" i="25"/>
  <c r="D245" i="25"/>
  <c r="D184" i="25"/>
  <c r="D53" i="25"/>
  <c r="D48" i="25"/>
  <c r="D153" i="25"/>
  <c r="D227" i="25"/>
  <c r="D208" i="25"/>
  <c r="D306" i="25"/>
  <c r="D328" i="25"/>
  <c r="D218" i="25"/>
  <c r="D139" i="25"/>
  <c r="D217" i="25"/>
  <c r="D193" i="25"/>
  <c r="D58" i="25"/>
  <c r="D257" i="25"/>
  <c r="D225" i="25"/>
  <c r="D283" i="25"/>
  <c r="D279" i="25"/>
  <c r="D69" i="25"/>
  <c r="D329" i="25"/>
  <c r="D250" i="25"/>
  <c r="D248" i="25"/>
  <c r="D186" i="25"/>
  <c r="D277" i="25"/>
  <c r="D84" i="25"/>
  <c r="D40" i="25"/>
  <c r="D36" i="25"/>
  <c r="D274" i="25"/>
  <c r="D255" i="25"/>
  <c r="D190" i="25"/>
  <c r="D232" i="25"/>
  <c r="D209" i="25"/>
  <c r="D124" i="25"/>
  <c r="D338" i="25"/>
  <c r="D146" i="25"/>
  <c r="H16" i="25"/>
  <c r="D223" i="25"/>
  <c r="D222" i="25"/>
  <c r="D125" i="25"/>
  <c r="D350" i="25"/>
  <c r="D345" i="25"/>
  <c r="D192" i="25"/>
  <c r="D316" i="25"/>
  <c r="D374" i="25"/>
  <c r="D176" i="25"/>
  <c r="D94" i="25"/>
  <c r="D249" i="25"/>
  <c r="D219" i="25"/>
  <c r="D308" i="25"/>
  <c r="D265" i="25"/>
  <c r="D262" i="25"/>
  <c r="D270" i="25"/>
  <c r="D297" i="25"/>
  <c r="D333" i="25"/>
  <c r="D134" i="25"/>
  <c r="D93" i="25"/>
  <c r="D324" i="25"/>
  <c r="D343" i="25"/>
  <c r="D285" i="25"/>
  <c r="D325" i="25"/>
  <c r="D221" i="25"/>
  <c r="D330" i="25"/>
  <c r="D275" i="25"/>
  <c r="D85" i="25"/>
  <c r="D162" i="25"/>
  <c r="D243" i="25"/>
  <c r="D95" i="25"/>
  <c r="D300" i="25"/>
  <c r="D135" i="25"/>
  <c r="D127" i="25"/>
  <c r="D241" i="25"/>
  <c r="D301" i="25"/>
  <c r="D112" i="25"/>
  <c r="D66" i="25"/>
  <c r="D161" i="25"/>
  <c r="D309" i="25"/>
  <c r="D27" i="25"/>
  <c r="D234" i="25"/>
  <c r="D97" i="25"/>
  <c r="D142" i="25"/>
  <c r="D144" i="25"/>
  <c r="D92" i="25"/>
  <c r="D354" i="25"/>
  <c r="D298" i="25"/>
  <c r="D311" i="25"/>
  <c r="D335" i="25"/>
  <c r="D304" i="25"/>
  <c r="D247" i="25"/>
  <c r="D317" i="25"/>
  <c r="D314" i="25"/>
  <c r="D102" i="25"/>
  <c r="D26" i="25"/>
  <c r="D212" i="25"/>
  <c r="D155" i="25"/>
  <c r="D37" i="25"/>
  <c r="D171" i="25"/>
  <c r="D178" i="25"/>
  <c r="D168" i="25"/>
  <c r="D180" i="25"/>
  <c r="D46" i="25"/>
  <c r="D110" i="25"/>
  <c r="D100" i="25"/>
  <c r="D336" i="25"/>
  <c r="D204" i="25"/>
  <c r="D213" i="25"/>
  <c r="D372" i="25"/>
  <c r="K16" i="25"/>
  <c r="K436" i="25"/>
  <c r="D360" i="25"/>
  <c r="D197" i="25"/>
  <c r="D99" i="25"/>
  <c r="D169" i="25"/>
  <c r="D315" i="25"/>
  <c r="D319" i="25"/>
  <c r="D16" i="25"/>
  <c r="D202" i="25"/>
  <c r="D252" i="25"/>
  <c r="D101" i="25"/>
  <c r="D369" i="25"/>
  <c r="D91" i="25"/>
  <c r="D167" i="25"/>
  <c r="D357" i="25"/>
  <c r="D179" i="25"/>
  <c r="D181" i="25"/>
  <c r="D364" i="25"/>
  <c r="D348" i="25"/>
  <c r="D365" i="25"/>
  <c r="D299" i="25"/>
  <c r="D152" i="25"/>
  <c r="D233" i="25"/>
  <c r="D337" i="25"/>
  <c r="D229" i="25"/>
  <c r="D160" i="25"/>
  <c r="D295" i="25"/>
  <c r="D236" i="25"/>
  <c r="D291" i="25"/>
  <c r="D371" i="25"/>
  <c r="D281" i="25"/>
  <c r="D163" i="25"/>
  <c r="D258" i="25"/>
  <c r="D358" i="25"/>
  <c r="D322" i="25"/>
  <c r="D293" i="25"/>
  <c r="D307" i="25"/>
  <c r="D273" i="25"/>
  <c r="D286" i="25"/>
  <c r="D157" i="25"/>
  <c r="D130" i="25"/>
  <c r="D239" i="25"/>
  <c r="D341" i="25"/>
  <c r="D263" i="25"/>
  <c r="G16" i="25"/>
  <c r="D361" i="25"/>
  <c r="D196" i="25"/>
  <c r="D359" i="25"/>
  <c r="D269" i="25"/>
  <c r="D312" i="25"/>
  <c r="E16" i="25"/>
  <c r="D342" i="25"/>
  <c r="D174" i="25"/>
  <c r="D321" i="25"/>
  <c r="D164" i="25"/>
  <c r="D289" i="25"/>
  <c r="D320" i="25"/>
  <c r="D206" i="25"/>
  <c r="D261" i="25"/>
  <c r="D276" i="25"/>
  <c r="D278" i="25"/>
  <c r="D373" i="25"/>
  <c r="D259" i="25"/>
  <c r="D189" i="25"/>
  <c r="D326" i="25"/>
  <c r="D159" i="25"/>
  <c r="D240" i="25"/>
  <c r="D327" i="25"/>
  <c r="D83" i="25"/>
  <c r="D368" i="25"/>
  <c r="D187" i="25"/>
  <c r="D251" i="25"/>
  <c r="D356" i="25"/>
  <c r="D38" i="25"/>
  <c r="D305" i="25"/>
  <c r="D351" i="25"/>
  <c r="D344" i="25"/>
  <c r="D318" i="25"/>
  <c r="D107" i="25"/>
  <c r="D339" i="25"/>
  <c r="D310" i="25"/>
  <c r="D346" i="25"/>
  <c r="D156" i="25"/>
  <c r="K49" i="22"/>
  <c r="AC49" i="22"/>
  <c r="G49" i="22"/>
  <c r="Y49" i="22"/>
  <c r="AA49" i="22"/>
  <c r="Z49" i="22"/>
  <c r="F49" i="22"/>
  <c r="O49" i="22"/>
  <c r="AD49" i="22"/>
  <c r="AI49" i="22"/>
  <c r="J49" i="22"/>
  <c r="V49" i="22"/>
  <c r="Q49" i="22"/>
  <c r="AE49" i="22"/>
  <c r="T49" i="22"/>
  <c r="S49" i="22"/>
  <c r="I49" i="22"/>
  <c r="AB49" i="22"/>
  <c r="R49" i="22"/>
  <c r="M49" i="22"/>
  <c r="AF49" i="22"/>
  <c r="AG49" i="22"/>
  <c r="U49" i="22"/>
  <c r="AH49" i="22"/>
  <c r="N49" i="22"/>
  <c r="X49" i="22"/>
  <c r="W49" i="22"/>
  <c r="P49" i="22"/>
  <c r="H49" i="22"/>
  <c r="D22" i="2"/>
  <c r="L49" i="22"/>
  <c r="C11" i="2"/>
  <c r="C25" i="2"/>
  <c r="E18" i="2"/>
  <c r="E25" i="2"/>
  <c r="D21" i="25"/>
  <c r="D133" i="25"/>
  <c r="D109" i="25"/>
  <c r="D267" i="25"/>
  <c r="D296" i="25"/>
  <c r="D198" i="25"/>
  <c r="D353" i="25"/>
  <c r="D331" i="25"/>
  <c r="D288" i="25"/>
  <c r="D185" i="25"/>
  <c r="D72" i="25"/>
  <c r="D45" i="25"/>
  <c r="D55" i="25"/>
  <c r="D231" i="25"/>
  <c r="D260" i="25"/>
  <c r="D228" i="25"/>
  <c r="D150" i="25"/>
  <c r="D200" i="25"/>
  <c r="D188" i="25"/>
  <c r="D272" i="25"/>
  <c r="D362" i="25"/>
  <c r="D170" i="25"/>
  <c r="D340" i="25"/>
  <c r="D332" i="25"/>
  <c r="D349" i="25"/>
  <c r="D224" i="25"/>
  <c r="F41" i="22"/>
  <c r="H17" i="25"/>
  <c r="H18" i="25"/>
  <c r="H19" i="25"/>
  <c r="H20" i="25"/>
  <c r="H21" i="25"/>
  <c r="H22" i="25"/>
  <c r="H23" i="25"/>
  <c r="H24" i="25"/>
  <c r="H25" i="25"/>
  <c r="H26" i="25"/>
  <c r="H27" i="25"/>
  <c r="F16" i="25"/>
  <c r="M16" i="25"/>
  <c r="C34" i="6"/>
  <c r="E34" i="6"/>
  <c r="D11" i="2"/>
  <c r="F39" i="22"/>
  <c r="G17" i="25"/>
  <c r="E21" i="2"/>
  <c r="D25" i="2"/>
  <c r="E19" i="2"/>
  <c r="E23" i="2"/>
  <c r="E20" i="2"/>
  <c r="E22" i="2"/>
  <c r="G18" i="25"/>
  <c r="G19" i="25"/>
  <c r="G20" i="25"/>
  <c r="G21" i="25"/>
  <c r="G22" i="25"/>
  <c r="G23" i="25"/>
  <c r="G24" i="25"/>
  <c r="G25" i="25"/>
  <c r="G26" i="25"/>
  <c r="G27" i="25"/>
  <c r="G34" i="6"/>
  <c r="E17" i="25"/>
  <c r="M17" i="25"/>
  <c r="F17" i="25"/>
  <c r="E18" i="25"/>
  <c r="M18" i="25"/>
  <c r="E19" i="25"/>
  <c r="M19" i="25"/>
  <c r="F18" i="25"/>
  <c r="I16" i="25"/>
  <c r="E20" i="25"/>
  <c r="M20" i="25"/>
  <c r="F19" i="25"/>
  <c r="I17" i="25"/>
  <c r="E21" i="25"/>
  <c r="M21" i="25"/>
  <c r="F20" i="25"/>
  <c r="I18" i="25"/>
  <c r="E22" i="25"/>
  <c r="M22" i="25"/>
  <c r="F21" i="25"/>
  <c r="I19" i="25"/>
  <c r="E23" i="25"/>
  <c r="M23" i="25"/>
  <c r="F22" i="25"/>
  <c r="I20" i="25"/>
  <c r="E24" i="25"/>
  <c r="M24" i="25"/>
  <c r="F23" i="25"/>
  <c r="I21" i="25"/>
  <c r="F24" i="25"/>
  <c r="I22" i="25"/>
  <c r="E25" i="25"/>
  <c r="M25" i="25"/>
  <c r="F25" i="25"/>
  <c r="I23" i="25"/>
  <c r="E26" i="25"/>
  <c r="M26" i="25"/>
  <c r="E27" i="25"/>
  <c r="M27" i="25"/>
  <c r="F26" i="25"/>
  <c r="I24" i="25"/>
  <c r="E28" i="25"/>
  <c r="J16" i="25"/>
  <c r="H28" i="25"/>
  <c r="G28" i="25"/>
  <c r="M28" i="25"/>
  <c r="F27" i="25"/>
  <c r="W38" i="22"/>
  <c r="Q38" i="22"/>
  <c r="AE38" i="22"/>
  <c r="U38" i="22"/>
  <c r="S38" i="22"/>
  <c r="AG38" i="22"/>
  <c r="L38" i="22"/>
  <c r="Y38" i="22"/>
  <c r="AF38" i="22"/>
  <c r="K38" i="22"/>
  <c r="V38" i="22"/>
  <c r="AH38" i="22"/>
  <c r="F38" i="22"/>
  <c r="I38" i="22"/>
  <c r="N38" i="22"/>
  <c r="Z38" i="22"/>
  <c r="O38" i="22"/>
  <c r="AA38" i="22"/>
  <c r="H38" i="22"/>
  <c r="J38" i="22"/>
  <c r="G38" i="22"/>
  <c r="AI38" i="22"/>
  <c r="AC38" i="22"/>
  <c r="M38" i="22"/>
  <c r="P38" i="22"/>
  <c r="R38" i="22"/>
  <c r="AB38" i="22"/>
  <c r="AD38" i="22"/>
  <c r="T38" i="22"/>
  <c r="X38" i="22"/>
  <c r="I25" i="25"/>
  <c r="AC55" i="22"/>
  <c r="N55" i="22"/>
  <c r="L55" i="22"/>
  <c r="AI55" i="22"/>
  <c r="I55" i="22"/>
  <c r="AG55" i="22"/>
  <c r="E29" i="25"/>
  <c r="M29" i="25"/>
  <c r="S55" i="22"/>
  <c r="G39" i="22"/>
  <c r="G29" i="25"/>
  <c r="G30" i="25"/>
  <c r="G31" i="25"/>
  <c r="G32" i="25"/>
  <c r="G33" i="25"/>
  <c r="G34" i="25"/>
  <c r="G35" i="25"/>
  <c r="G36" i="25"/>
  <c r="G37" i="25"/>
  <c r="G38" i="25"/>
  <c r="G39" i="25"/>
  <c r="AD55" i="22"/>
  <c r="G41" i="22"/>
  <c r="H29" i="25"/>
  <c r="H30" i="25"/>
  <c r="H31" i="25"/>
  <c r="H32" i="25"/>
  <c r="H33" i="25"/>
  <c r="H34" i="25"/>
  <c r="H35" i="25"/>
  <c r="H36" i="25"/>
  <c r="H37" i="25"/>
  <c r="H38" i="25"/>
  <c r="H39" i="25"/>
  <c r="F55" i="22"/>
  <c r="F40" i="22"/>
  <c r="F43" i="22"/>
  <c r="F54" i="22"/>
  <c r="J17" i="25"/>
  <c r="D67" i="5"/>
  <c r="L16" i="25"/>
  <c r="G55" i="22"/>
  <c r="J55" i="22"/>
  <c r="V55" i="22"/>
  <c r="AA55" i="22"/>
  <c r="K55" i="22"/>
  <c r="Q55" i="22"/>
  <c r="X55" i="22"/>
  <c r="U55" i="22"/>
  <c r="AB55" i="22"/>
  <c r="AE55" i="22"/>
  <c r="P55" i="22"/>
  <c r="O55" i="22"/>
  <c r="AF55" i="22"/>
  <c r="W55" i="22"/>
  <c r="F28" i="25"/>
  <c r="I26" i="25"/>
  <c r="T55" i="22"/>
  <c r="AH55" i="22"/>
  <c r="H55" i="22"/>
  <c r="R55" i="22"/>
  <c r="M55" i="22"/>
  <c r="Z55" i="22"/>
  <c r="Y55" i="22"/>
  <c r="J18" i="25"/>
  <c r="L17" i="25"/>
  <c r="E30" i="25"/>
  <c r="M30" i="25"/>
  <c r="F51" i="22"/>
  <c r="F29" i="25"/>
  <c r="I27" i="25"/>
  <c r="E31" i="25"/>
  <c r="M31" i="25"/>
  <c r="F30" i="25"/>
  <c r="I28" i="25"/>
  <c r="J19" i="25"/>
  <c r="L18" i="25"/>
  <c r="J20" i="25"/>
  <c r="L19" i="25"/>
  <c r="E32" i="25"/>
  <c r="M32" i="25"/>
  <c r="F31" i="25"/>
  <c r="I29" i="25"/>
  <c r="E33" i="25"/>
  <c r="M33" i="25"/>
  <c r="F32" i="25"/>
  <c r="I30" i="25"/>
  <c r="J21" i="25"/>
  <c r="L20" i="25"/>
  <c r="E34" i="25"/>
  <c r="M34" i="25"/>
  <c r="F33" i="25"/>
  <c r="I31" i="25"/>
  <c r="J22" i="25"/>
  <c r="L21" i="25"/>
  <c r="J23" i="25"/>
  <c r="L22" i="25"/>
  <c r="E35" i="25"/>
  <c r="M35" i="25"/>
  <c r="F34" i="25"/>
  <c r="I32" i="25"/>
  <c r="E36" i="25"/>
  <c r="M36" i="25"/>
  <c r="F35" i="25"/>
  <c r="I33" i="25"/>
  <c r="J24" i="25"/>
  <c r="L23" i="25"/>
  <c r="J25" i="25"/>
  <c r="L24" i="25"/>
  <c r="F36" i="25"/>
  <c r="I34" i="25"/>
  <c r="E37" i="25"/>
  <c r="M37" i="25"/>
  <c r="F37" i="25"/>
  <c r="I35" i="25"/>
  <c r="E38" i="25"/>
  <c r="M38" i="25"/>
  <c r="J26" i="25"/>
  <c r="L25" i="25"/>
  <c r="E39" i="25"/>
  <c r="M39" i="25"/>
  <c r="J27" i="25"/>
  <c r="L27" i="25"/>
  <c r="L26" i="25"/>
  <c r="F38" i="25"/>
  <c r="I36" i="25"/>
  <c r="F39" i="25"/>
  <c r="I37" i="25"/>
  <c r="E40" i="25"/>
  <c r="J28" i="25"/>
  <c r="H40" i="25"/>
  <c r="G40" i="25"/>
  <c r="M40" i="25"/>
  <c r="G40" i="22"/>
  <c r="J29" i="25"/>
  <c r="L28" i="25"/>
  <c r="F40" i="25"/>
  <c r="I38" i="25"/>
  <c r="E41" i="25"/>
  <c r="M41" i="25"/>
  <c r="H41" i="22"/>
  <c r="H42" i="22"/>
  <c r="H41" i="25"/>
  <c r="H42" i="25"/>
  <c r="H43" i="25"/>
  <c r="H44" i="25"/>
  <c r="H45" i="25"/>
  <c r="H46" i="25"/>
  <c r="H47" i="25"/>
  <c r="H48" i="25"/>
  <c r="H49" i="25"/>
  <c r="H50" i="25"/>
  <c r="H51" i="25"/>
  <c r="H39" i="22"/>
  <c r="G41" i="25"/>
  <c r="G42" i="25"/>
  <c r="G43" i="25"/>
  <c r="G44" i="25"/>
  <c r="G45" i="25"/>
  <c r="G46" i="25"/>
  <c r="G47" i="25"/>
  <c r="G48" i="25"/>
  <c r="G49" i="25"/>
  <c r="G50" i="25"/>
  <c r="G51" i="25"/>
  <c r="F41" i="25"/>
  <c r="I39" i="25"/>
  <c r="E42" i="25"/>
  <c r="M42" i="25"/>
  <c r="J30" i="25"/>
  <c r="L29" i="25"/>
  <c r="G43" i="22"/>
  <c r="G54" i="22"/>
  <c r="G51" i="22"/>
  <c r="J31" i="25"/>
  <c r="L30" i="25"/>
  <c r="E43" i="25"/>
  <c r="M43" i="25"/>
  <c r="F42" i="25"/>
  <c r="I40" i="25"/>
  <c r="E44" i="25"/>
  <c r="M44" i="25"/>
  <c r="F43" i="25"/>
  <c r="I41" i="25"/>
  <c r="J32" i="25"/>
  <c r="L31" i="25"/>
  <c r="J33" i="25"/>
  <c r="L32" i="25"/>
  <c r="E45" i="25"/>
  <c r="M45" i="25"/>
  <c r="F44" i="25"/>
  <c r="I42" i="25"/>
  <c r="F45" i="25"/>
  <c r="I43" i="25"/>
  <c r="E46" i="25"/>
  <c r="M46" i="25"/>
  <c r="J34" i="25"/>
  <c r="L33" i="25"/>
  <c r="E47" i="25"/>
  <c r="M47" i="25"/>
  <c r="J35" i="25"/>
  <c r="L34" i="25"/>
  <c r="F46" i="25"/>
  <c r="I44" i="25"/>
  <c r="J36" i="25"/>
  <c r="L35" i="25"/>
  <c r="E48" i="25"/>
  <c r="M48" i="25"/>
  <c r="F47" i="25"/>
  <c r="I45" i="25"/>
  <c r="E49" i="25"/>
  <c r="M49" i="25"/>
  <c r="F48" i="25"/>
  <c r="I46" i="25"/>
  <c r="J37" i="25"/>
  <c r="L36" i="25"/>
  <c r="J38" i="25"/>
  <c r="L37" i="25"/>
  <c r="F49" i="25"/>
  <c r="I47" i="25"/>
  <c r="E50" i="25"/>
  <c r="M50" i="25"/>
  <c r="F50" i="25"/>
  <c r="I48" i="25"/>
  <c r="E51" i="25"/>
  <c r="M51" i="25"/>
  <c r="J39" i="25"/>
  <c r="L39" i="25"/>
  <c r="L38" i="25"/>
  <c r="F51" i="25"/>
  <c r="I49" i="25"/>
  <c r="E52" i="25"/>
  <c r="H52" i="25"/>
  <c r="G52" i="25"/>
  <c r="M52" i="25"/>
  <c r="J40" i="25"/>
  <c r="I39" i="22"/>
  <c r="G53" i="25"/>
  <c r="G54" i="25"/>
  <c r="G55" i="25"/>
  <c r="G56" i="25"/>
  <c r="G57" i="25"/>
  <c r="G58" i="25"/>
  <c r="G59" i="25"/>
  <c r="G60" i="25"/>
  <c r="G61" i="25"/>
  <c r="G62" i="25"/>
  <c r="G63" i="25"/>
  <c r="F52" i="25"/>
  <c r="I50" i="25"/>
  <c r="I41" i="22"/>
  <c r="I42" i="22"/>
  <c r="H53" i="25"/>
  <c r="H54" i="25"/>
  <c r="H55" i="25"/>
  <c r="H56" i="25"/>
  <c r="H57" i="25"/>
  <c r="H58" i="25"/>
  <c r="H59" i="25"/>
  <c r="H60" i="25"/>
  <c r="H61" i="25"/>
  <c r="H62" i="25"/>
  <c r="H63" i="25"/>
  <c r="E53" i="25"/>
  <c r="M53" i="25"/>
  <c r="H40" i="22"/>
  <c r="J41" i="25"/>
  <c r="L40" i="25"/>
  <c r="H43" i="22"/>
  <c r="H54" i="22"/>
  <c r="H51" i="22"/>
  <c r="J42" i="25"/>
  <c r="L41" i="25"/>
  <c r="E54" i="25"/>
  <c r="M54" i="25"/>
  <c r="F53" i="25"/>
  <c r="I51" i="25"/>
  <c r="J43" i="25"/>
  <c r="L42" i="25"/>
  <c r="F54" i="25"/>
  <c r="I52" i="25"/>
  <c r="E55" i="25"/>
  <c r="M55" i="25"/>
  <c r="F55" i="25"/>
  <c r="I53" i="25"/>
  <c r="J44" i="25"/>
  <c r="L43" i="25"/>
  <c r="E56" i="25"/>
  <c r="M56" i="25"/>
  <c r="F56" i="25"/>
  <c r="I54" i="25"/>
  <c r="J45" i="25"/>
  <c r="L44" i="25"/>
  <c r="E57" i="25"/>
  <c r="M57" i="25"/>
  <c r="F57" i="25"/>
  <c r="I55" i="25"/>
  <c r="J46" i="25"/>
  <c r="L45" i="25"/>
  <c r="E58" i="25"/>
  <c r="M58" i="25"/>
  <c r="F58" i="25"/>
  <c r="I56" i="25"/>
  <c r="E59" i="25"/>
  <c r="M59" i="25"/>
  <c r="J47" i="25"/>
  <c r="L46" i="25"/>
  <c r="E60" i="25"/>
  <c r="M60" i="25"/>
  <c r="J48" i="25"/>
  <c r="L47" i="25"/>
  <c r="F59" i="25"/>
  <c r="I57" i="25"/>
  <c r="E61" i="25"/>
  <c r="M61" i="25"/>
  <c r="J49" i="25"/>
  <c r="L48" i="25"/>
  <c r="F60" i="25"/>
  <c r="I58" i="25"/>
  <c r="J50" i="25"/>
  <c r="L49" i="25"/>
  <c r="F61" i="25"/>
  <c r="I59" i="25"/>
  <c r="E62" i="25"/>
  <c r="M62" i="25"/>
  <c r="F62" i="25"/>
  <c r="I60" i="25"/>
  <c r="E63" i="25"/>
  <c r="M63" i="25"/>
  <c r="J51" i="25"/>
  <c r="L51" i="25"/>
  <c r="L50" i="25"/>
  <c r="E64" i="25"/>
  <c r="J52" i="25"/>
  <c r="G64" i="25"/>
  <c r="H64" i="25"/>
  <c r="M64" i="25"/>
  <c r="F63" i="25"/>
  <c r="I61" i="25"/>
  <c r="E65" i="25"/>
  <c r="M65" i="25"/>
  <c r="J39" i="22"/>
  <c r="G65" i="25"/>
  <c r="G66" i="25"/>
  <c r="G67" i="25"/>
  <c r="G68" i="25"/>
  <c r="G69" i="25"/>
  <c r="G70" i="25"/>
  <c r="G71" i="25"/>
  <c r="G72" i="25"/>
  <c r="G73" i="25"/>
  <c r="G74" i="25"/>
  <c r="G75" i="25"/>
  <c r="J42" i="22"/>
  <c r="J41" i="22"/>
  <c r="H65" i="25"/>
  <c r="H66" i="25"/>
  <c r="H67" i="25"/>
  <c r="H68" i="25"/>
  <c r="H69" i="25"/>
  <c r="H70" i="25"/>
  <c r="H71" i="25"/>
  <c r="H72" i="25"/>
  <c r="H73" i="25"/>
  <c r="H74" i="25"/>
  <c r="H75" i="25"/>
  <c r="F64" i="25"/>
  <c r="I62" i="25"/>
  <c r="I40" i="22"/>
  <c r="J53" i="25"/>
  <c r="L52" i="25"/>
  <c r="I43" i="22"/>
  <c r="I54" i="22"/>
  <c r="I51" i="22"/>
  <c r="F65" i="25"/>
  <c r="I63" i="25"/>
  <c r="J54" i="25"/>
  <c r="L53" i="25"/>
  <c r="E66" i="25"/>
  <c r="M66" i="25"/>
  <c r="F66" i="25"/>
  <c r="I64" i="25"/>
  <c r="E67" i="25"/>
  <c r="M67" i="25"/>
  <c r="J55" i="25"/>
  <c r="L54" i="25"/>
  <c r="J56" i="25"/>
  <c r="L55" i="25"/>
  <c r="E68" i="25"/>
  <c r="M68" i="25"/>
  <c r="F67" i="25"/>
  <c r="I65" i="25"/>
  <c r="E69" i="25"/>
  <c r="M69" i="25"/>
  <c r="F68" i="25"/>
  <c r="I66" i="25"/>
  <c r="J57" i="25"/>
  <c r="L56" i="25"/>
  <c r="J58" i="25"/>
  <c r="L57" i="25"/>
  <c r="E70" i="25"/>
  <c r="M70" i="25"/>
  <c r="F69" i="25"/>
  <c r="I67" i="25"/>
  <c r="E71" i="25"/>
  <c r="M71" i="25"/>
  <c r="F70" i="25"/>
  <c r="I68" i="25"/>
  <c r="J59" i="25"/>
  <c r="L58" i="25"/>
  <c r="J60" i="25"/>
  <c r="L59" i="25"/>
  <c r="F71" i="25"/>
  <c r="I69" i="25"/>
  <c r="E72" i="25"/>
  <c r="M72" i="25"/>
  <c r="F72" i="25"/>
  <c r="I70" i="25"/>
  <c r="J61" i="25"/>
  <c r="L60" i="25"/>
  <c r="E73" i="25"/>
  <c r="M73" i="25"/>
  <c r="F73" i="25"/>
  <c r="I71" i="25"/>
  <c r="J62" i="25"/>
  <c r="L61" i="25"/>
  <c r="E74" i="25"/>
  <c r="M74" i="25"/>
  <c r="F74" i="25"/>
  <c r="I72" i="25"/>
  <c r="E75" i="25"/>
  <c r="M75" i="25"/>
  <c r="J63" i="25"/>
  <c r="L63" i="25"/>
  <c r="L62" i="25"/>
  <c r="E76" i="25"/>
  <c r="H76" i="25"/>
  <c r="G76" i="25"/>
  <c r="J64" i="25"/>
  <c r="M76" i="25"/>
  <c r="F75" i="25"/>
  <c r="I73" i="25"/>
  <c r="E77" i="25"/>
  <c r="M77" i="25"/>
  <c r="J40" i="22"/>
  <c r="J65" i="25"/>
  <c r="L64" i="25"/>
  <c r="K39" i="22"/>
  <c r="G77" i="25"/>
  <c r="G78" i="25"/>
  <c r="G79" i="25"/>
  <c r="G80" i="25"/>
  <c r="G81" i="25"/>
  <c r="G82" i="25"/>
  <c r="G83" i="25"/>
  <c r="G84" i="25"/>
  <c r="G85" i="25"/>
  <c r="G86" i="25"/>
  <c r="G87" i="25"/>
  <c r="K42" i="22"/>
  <c r="K41" i="22"/>
  <c r="H77" i="25"/>
  <c r="H78" i="25"/>
  <c r="H79" i="25"/>
  <c r="H80" i="25"/>
  <c r="H81" i="25"/>
  <c r="H82" i="25"/>
  <c r="H83" i="25"/>
  <c r="H84" i="25"/>
  <c r="H85" i="25"/>
  <c r="H86" i="25"/>
  <c r="H87" i="25"/>
  <c r="F76" i="25"/>
  <c r="I74" i="25"/>
  <c r="E78" i="25"/>
  <c r="M78" i="25"/>
  <c r="J66" i="25"/>
  <c r="L65" i="25"/>
  <c r="J51" i="22"/>
  <c r="J43" i="22"/>
  <c r="J54" i="22"/>
  <c r="F77" i="25"/>
  <c r="I75" i="25"/>
  <c r="E79" i="25"/>
  <c r="M79" i="25"/>
  <c r="F78" i="25"/>
  <c r="I76" i="25"/>
  <c r="J67" i="25"/>
  <c r="L66" i="25"/>
  <c r="J68" i="25"/>
  <c r="L67" i="25"/>
  <c r="E80" i="25"/>
  <c r="M80" i="25"/>
  <c r="F79" i="25"/>
  <c r="I77" i="25"/>
  <c r="E81" i="25"/>
  <c r="M81" i="25"/>
  <c r="J69" i="25"/>
  <c r="L68" i="25"/>
  <c r="F80" i="25"/>
  <c r="I78" i="25"/>
  <c r="J70" i="25"/>
  <c r="L69" i="25"/>
  <c r="F81" i="25"/>
  <c r="I79" i="25"/>
  <c r="E82" i="25"/>
  <c r="M82" i="25"/>
  <c r="F82" i="25"/>
  <c r="I80" i="25"/>
  <c r="J71" i="25"/>
  <c r="L70" i="25"/>
  <c r="E83" i="25"/>
  <c r="M83" i="25"/>
  <c r="F83" i="25"/>
  <c r="I81" i="25"/>
  <c r="J72" i="25"/>
  <c r="L71" i="25"/>
  <c r="E84" i="25"/>
  <c r="M84" i="25"/>
  <c r="E85" i="25"/>
  <c r="M85" i="25"/>
  <c r="F84" i="25"/>
  <c r="I82" i="25"/>
  <c r="J73" i="25"/>
  <c r="L72" i="25"/>
  <c r="J74" i="25"/>
  <c r="L73" i="25"/>
  <c r="E86" i="25"/>
  <c r="M86" i="25"/>
  <c r="F85" i="25"/>
  <c r="I83" i="25"/>
  <c r="E87" i="25"/>
  <c r="M87" i="25"/>
  <c r="J75" i="25"/>
  <c r="L75" i="25"/>
  <c r="L74" i="25"/>
  <c r="F86" i="25"/>
  <c r="I84" i="25"/>
  <c r="E88" i="25"/>
  <c r="J76" i="25"/>
  <c r="H88" i="25"/>
  <c r="M88" i="25"/>
  <c r="G88" i="25"/>
  <c r="F87" i="25"/>
  <c r="I85" i="25"/>
  <c r="L39" i="22"/>
  <c r="G89" i="25"/>
  <c r="G90" i="25"/>
  <c r="G91" i="25"/>
  <c r="G92" i="25"/>
  <c r="G93" i="25"/>
  <c r="G94" i="25"/>
  <c r="G95" i="25"/>
  <c r="G96" i="25"/>
  <c r="G97" i="25"/>
  <c r="G98" i="25"/>
  <c r="G99" i="25"/>
  <c r="E89" i="25"/>
  <c r="M89" i="25"/>
  <c r="K40" i="22"/>
  <c r="J77" i="25"/>
  <c r="L76" i="25"/>
  <c r="F88" i="25"/>
  <c r="I86" i="25"/>
  <c r="L41" i="22"/>
  <c r="L42" i="22"/>
  <c r="H89" i="25"/>
  <c r="H90" i="25"/>
  <c r="H91" i="25"/>
  <c r="H92" i="25"/>
  <c r="H93" i="25"/>
  <c r="H94" i="25"/>
  <c r="H95" i="25"/>
  <c r="H96" i="25"/>
  <c r="H97" i="25"/>
  <c r="H98" i="25"/>
  <c r="H99" i="25"/>
  <c r="J78" i="25"/>
  <c r="L77" i="25"/>
  <c r="K51" i="22"/>
  <c r="K43" i="22"/>
  <c r="K54" i="22"/>
  <c r="E90" i="25"/>
  <c r="M90" i="25"/>
  <c r="F89" i="25"/>
  <c r="I87" i="25"/>
  <c r="E91" i="25"/>
  <c r="M91" i="25"/>
  <c r="F90" i="25"/>
  <c r="I88" i="25"/>
  <c r="J79" i="25"/>
  <c r="L78" i="25"/>
  <c r="J80" i="25"/>
  <c r="L79" i="25"/>
  <c r="F91" i="25"/>
  <c r="I89" i="25"/>
  <c r="E92" i="25"/>
  <c r="M92" i="25"/>
  <c r="F92" i="25"/>
  <c r="I90" i="25"/>
  <c r="E93" i="25"/>
  <c r="M93" i="25"/>
  <c r="J81" i="25"/>
  <c r="L80" i="25"/>
  <c r="E94" i="25"/>
  <c r="M94" i="25"/>
  <c r="J82" i="25"/>
  <c r="L81" i="25"/>
  <c r="F93" i="25"/>
  <c r="I91" i="25"/>
  <c r="E95" i="25"/>
  <c r="M95" i="25"/>
  <c r="J83" i="25"/>
  <c r="L82" i="25"/>
  <c r="F94" i="25"/>
  <c r="I92" i="25"/>
  <c r="F95" i="25"/>
  <c r="I93" i="25"/>
  <c r="J84" i="25"/>
  <c r="L83" i="25"/>
  <c r="E96" i="25"/>
  <c r="M96" i="25"/>
  <c r="F96" i="25"/>
  <c r="I94" i="25"/>
  <c r="E97" i="25"/>
  <c r="M97" i="25"/>
  <c r="J85" i="25"/>
  <c r="L84" i="25"/>
  <c r="E98" i="25"/>
  <c r="M98" i="25"/>
  <c r="J86" i="25"/>
  <c r="L85" i="25"/>
  <c r="F97" i="25"/>
  <c r="I95" i="25"/>
  <c r="F98" i="25"/>
  <c r="I96" i="25"/>
  <c r="J87" i="25"/>
  <c r="L87" i="25"/>
  <c r="L86" i="25"/>
  <c r="E99" i="25"/>
  <c r="M99" i="25"/>
  <c r="F99" i="25"/>
  <c r="I97" i="25"/>
  <c r="E100" i="25"/>
  <c r="J88" i="25"/>
  <c r="G100" i="25"/>
  <c r="M100" i="25"/>
  <c r="H100" i="25"/>
  <c r="M39" i="22"/>
  <c r="G101" i="25"/>
  <c r="G102" i="25"/>
  <c r="G103" i="25"/>
  <c r="G104" i="25"/>
  <c r="G105" i="25"/>
  <c r="G106" i="25"/>
  <c r="G107" i="25"/>
  <c r="G108" i="25"/>
  <c r="G109" i="25"/>
  <c r="G110" i="25"/>
  <c r="G111" i="25"/>
  <c r="L40" i="22"/>
  <c r="J89" i="25"/>
  <c r="L88" i="25"/>
  <c r="F100" i="25"/>
  <c r="I98" i="25"/>
  <c r="M41" i="22"/>
  <c r="M42" i="22"/>
  <c r="H101" i="25"/>
  <c r="H102" i="25"/>
  <c r="H103" i="25"/>
  <c r="H104" i="25"/>
  <c r="H105" i="25"/>
  <c r="H106" i="25"/>
  <c r="H107" i="25"/>
  <c r="H108" i="25"/>
  <c r="H109" i="25"/>
  <c r="H110" i="25"/>
  <c r="H111" i="25"/>
  <c r="E101" i="25"/>
  <c r="M101" i="25"/>
  <c r="E102" i="25"/>
  <c r="M102" i="25"/>
  <c r="J90" i="25"/>
  <c r="L89" i="25"/>
  <c r="F101" i="25"/>
  <c r="I99" i="25"/>
  <c r="L43" i="22"/>
  <c r="L54" i="22"/>
  <c r="L51" i="22"/>
  <c r="E103" i="25"/>
  <c r="M103" i="25"/>
  <c r="J91" i="25"/>
  <c r="L90" i="25"/>
  <c r="F102" i="25"/>
  <c r="I100" i="25"/>
  <c r="E104" i="25"/>
  <c r="M104" i="25"/>
  <c r="F103" i="25"/>
  <c r="I101" i="25"/>
  <c r="J92" i="25"/>
  <c r="L91" i="25"/>
  <c r="J93" i="25"/>
  <c r="L92" i="25"/>
  <c r="E105" i="25"/>
  <c r="M105" i="25"/>
  <c r="F104" i="25"/>
  <c r="I102" i="25"/>
  <c r="E106" i="25"/>
  <c r="M106" i="25"/>
  <c r="F105" i="25"/>
  <c r="I103" i="25"/>
  <c r="J94" i="25"/>
  <c r="L93" i="25"/>
  <c r="J95" i="25"/>
  <c r="L94" i="25"/>
  <c r="E107" i="25"/>
  <c r="M107" i="25"/>
  <c r="F106" i="25"/>
  <c r="I104" i="25"/>
  <c r="E108" i="25"/>
  <c r="M108" i="25"/>
  <c r="J96" i="25"/>
  <c r="L95" i="25"/>
  <c r="F107" i="25"/>
  <c r="I105" i="25"/>
  <c r="F108" i="25"/>
  <c r="I106" i="25"/>
  <c r="J97" i="25"/>
  <c r="L96" i="25"/>
  <c r="E109" i="25"/>
  <c r="M109" i="25"/>
  <c r="F109" i="25"/>
  <c r="I107" i="25"/>
  <c r="J98" i="25"/>
  <c r="L97" i="25"/>
  <c r="E110" i="25"/>
  <c r="M110" i="25"/>
  <c r="F110" i="25"/>
  <c r="I108" i="25"/>
  <c r="J99" i="25"/>
  <c r="L99" i="25"/>
  <c r="L98" i="25"/>
  <c r="E111" i="25"/>
  <c r="M111" i="25"/>
  <c r="F111" i="25"/>
  <c r="I109" i="25"/>
  <c r="E112" i="25"/>
  <c r="H112" i="25"/>
  <c r="J100" i="25"/>
  <c r="G112" i="25"/>
  <c r="M112" i="25"/>
  <c r="E113" i="25"/>
  <c r="M113" i="25"/>
  <c r="M40" i="22"/>
  <c r="J101" i="25"/>
  <c r="L100" i="25"/>
  <c r="N42" i="22"/>
  <c r="N41" i="22"/>
  <c r="H113" i="25"/>
  <c r="H114" i="25"/>
  <c r="N39" i="22"/>
  <c r="G113" i="25"/>
  <c r="G114" i="25"/>
  <c r="G115" i="25"/>
  <c r="G116" i="25"/>
  <c r="G117" i="25"/>
  <c r="G118" i="25"/>
  <c r="G119" i="25"/>
  <c r="G120" i="25"/>
  <c r="G121" i="25"/>
  <c r="G122" i="25"/>
  <c r="G123" i="25"/>
  <c r="F112" i="25"/>
  <c r="I110" i="25"/>
  <c r="J102" i="25"/>
  <c r="L101" i="25"/>
  <c r="M51" i="22"/>
  <c r="M43" i="22"/>
  <c r="M54" i="22"/>
  <c r="E114" i="25"/>
  <c r="M114" i="25"/>
  <c r="F113" i="25"/>
  <c r="I111" i="25"/>
  <c r="E115" i="25"/>
  <c r="M115" i="25"/>
  <c r="J103" i="25"/>
  <c r="L102" i="25"/>
  <c r="F114" i="25"/>
  <c r="I112" i="25"/>
  <c r="E116" i="25"/>
  <c r="M116" i="25"/>
  <c r="J104" i="25"/>
  <c r="L103" i="25"/>
  <c r="F115" i="25"/>
  <c r="I113" i="25"/>
  <c r="F116" i="25"/>
  <c r="I114" i="25"/>
  <c r="J105" i="25"/>
  <c r="L104" i="25"/>
  <c r="E117" i="25"/>
  <c r="M117" i="25"/>
  <c r="E118" i="25"/>
  <c r="M118" i="25"/>
  <c r="F117" i="25"/>
  <c r="I115" i="25"/>
  <c r="J106" i="25"/>
  <c r="L105" i="25"/>
  <c r="J107" i="25"/>
  <c r="L106" i="25"/>
  <c r="E119" i="25"/>
  <c r="M119" i="25"/>
  <c r="F118" i="25"/>
  <c r="I116" i="25"/>
  <c r="F119" i="25"/>
  <c r="I117" i="25"/>
  <c r="E120" i="25"/>
  <c r="M120" i="25"/>
  <c r="J108" i="25"/>
  <c r="L107" i="25"/>
  <c r="E121" i="25"/>
  <c r="M121" i="25"/>
  <c r="J109" i="25"/>
  <c r="L108" i="25"/>
  <c r="F120" i="25"/>
  <c r="I118" i="25"/>
  <c r="J110" i="25"/>
  <c r="L109" i="25"/>
  <c r="E122" i="25"/>
  <c r="M122" i="25"/>
  <c r="F121" i="25"/>
  <c r="I119" i="25"/>
  <c r="F122" i="25"/>
  <c r="I120" i="25"/>
  <c r="J111" i="25"/>
  <c r="L111" i="25"/>
  <c r="L110" i="25"/>
  <c r="E123" i="25"/>
  <c r="M123" i="25"/>
  <c r="E124" i="25"/>
  <c r="G124" i="25"/>
  <c r="J112" i="25"/>
  <c r="M124" i="25"/>
  <c r="F123" i="25"/>
  <c r="I121" i="25"/>
  <c r="E125" i="25"/>
  <c r="M125" i="25"/>
  <c r="N40" i="22"/>
  <c r="J113" i="25"/>
  <c r="L112" i="25"/>
  <c r="O39" i="22"/>
  <c r="G125" i="25"/>
  <c r="G126" i="25"/>
  <c r="G127" i="25"/>
  <c r="G128" i="25"/>
  <c r="G129" i="25"/>
  <c r="G130" i="25"/>
  <c r="G131" i="25"/>
  <c r="G132" i="25"/>
  <c r="G133" i="25"/>
  <c r="G134" i="25"/>
  <c r="G135" i="25"/>
  <c r="F124" i="25"/>
  <c r="I122" i="25"/>
  <c r="N43" i="22"/>
  <c r="N54" i="22"/>
  <c r="N51" i="22"/>
  <c r="E126" i="25"/>
  <c r="M126" i="25"/>
  <c r="J114" i="25"/>
  <c r="L113" i="25"/>
  <c r="F125" i="25"/>
  <c r="I123" i="25"/>
  <c r="E127" i="25"/>
  <c r="M127" i="25"/>
  <c r="F126" i="25"/>
  <c r="I124" i="25"/>
  <c r="J115" i="25"/>
  <c r="L114" i="25"/>
  <c r="F127" i="25"/>
  <c r="I125" i="25"/>
  <c r="J116" i="25"/>
  <c r="L115" i="25"/>
  <c r="E128" i="25"/>
  <c r="M128" i="25"/>
  <c r="F128" i="25"/>
  <c r="I126" i="25"/>
  <c r="J117" i="25"/>
  <c r="L116" i="25"/>
  <c r="E129" i="25"/>
  <c r="M129" i="25"/>
  <c r="F129" i="25"/>
  <c r="I127" i="25"/>
  <c r="J118" i="25"/>
  <c r="L117" i="25"/>
  <c r="E130" i="25"/>
  <c r="M130" i="25"/>
  <c r="F130" i="25"/>
  <c r="I128" i="25"/>
  <c r="E131" i="25"/>
  <c r="M131" i="25"/>
  <c r="J119" i="25"/>
  <c r="L118" i="25"/>
  <c r="E132" i="25"/>
  <c r="M132" i="25"/>
  <c r="J120" i="25"/>
  <c r="L119" i="25"/>
  <c r="F131" i="25"/>
  <c r="I129" i="25"/>
  <c r="E133" i="25"/>
  <c r="M133" i="25"/>
  <c r="J121" i="25"/>
  <c r="L120" i="25"/>
  <c r="F132" i="25"/>
  <c r="I130" i="25"/>
  <c r="F133" i="25"/>
  <c r="I131" i="25"/>
  <c r="J122" i="25"/>
  <c r="L121" i="25"/>
  <c r="E134" i="25"/>
  <c r="M134" i="25"/>
  <c r="E135" i="25"/>
  <c r="M135" i="25"/>
  <c r="F134" i="25"/>
  <c r="I132" i="25"/>
  <c r="J123" i="25"/>
  <c r="L123" i="25"/>
  <c r="L122" i="25"/>
  <c r="E136" i="25"/>
  <c r="G136" i="25"/>
  <c r="J124" i="25"/>
  <c r="M136" i="25"/>
  <c r="F135" i="25"/>
  <c r="I133" i="25"/>
  <c r="E137" i="25"/>
  <c r="M137" i="25"/>
  <c r="O40" i="22"/>
  <c r="J125" i="25"/>
  <c r="L124" i="25"/>
  <c r="F136" i="25"/>
  <c r="I134" i="25"/>
  <c r="P39" i="22"/>
  <c r="G137" i="25"/>
  <c r="G138" i="25"/>
  <c r="G139" i="25"/>
  <c r="G140" i="25"/>
  <c r="G141" i="25"/>
  <c r="G142" i="25"/>
  <c r="G143" i="25"/>
  <c r="G144" i="25"/>
  <c r="G145" i="25"/>
  <c r="G146" i="25"/>
  <c r="G147" i="25"/>
  <c r="J126" i="25"/>
  <c r="L125" i="25"/>
  <c r="F137" i="25"/>
  <c r="I135" i="25"/>
  <c r="O51" i="22"/>
  <c r="O43" i="22"/>
  <c r="O54" i="22"/>
  <c r="E138" i="25"/>
  <c r="M138" i="25"/>
  <c r="E139" i="25"/>
  <c r="M139" i="25"/>
  <c r="F138" i="25"/>
  <c r="I136" i="25"/>
  <c r="J127" i="25"/>
  <c r="L126" i="25"/>
  <c r="J128" i="25"/>
  <c r="L127" i="25"/>
  <c r="E140" i="25"/>
  <c r="M140" i="25"/>
  <c r="F139" i="25"/>
  <c r="I137" i="25"/>
  <c r="E141" i="25"/>
  <c r="M141" i="25"/>
  <c r="J129" i="25"/>
  <c r="L128" i="25"/>
  <c r="F140" i="25"/>
  <c r="I138" i="25"/>
  <c r="J130" i="25"/>
  <c r="L129" i="25"/>
  <c r="F141" i="25"/>
  <c r="I139" i="25"/>
  <c r="E142" i="25"/>
  <c r="M142" i="25"/>
  <c r="F142" i="25"/>
  <c r="I140" i="25"/>
  <c r="J131" i="25"/>
  <c r="L130" i="25"/>
  <c r="E143" i="25"/>
  <c r="M143" i="25"/>
  <c r="F143" i="25"/>
  <c r="I141" i="25"/>
  <c r="J132" i="25"/>
  <c r="L131" i="25"/>
  <c r="E144" i="25"/>
  <c r="M144" i="25"/>
  <c r="F144" i="25"/>
  <c r="I142" i="25"/>
  <c r="J133" i="25"/>
  <c r="L132" i="25"/>
  <c r="E145" i="25"/>
  <c r="M145" i="25"/>
  <c r="E146" i="25"/>
  <c r="M146" i="25"/>
  <c r="F145" i="25"/>
  <c r="I143" i="25"/>
  <c r="J134" i="25"/>
  <c r="L133" i="25"/>
  <c r="E147" i="25"/>
  <c r="M147" i="25"/>
  <c r="J135" i="25"/>
  <c r="L135" i="25"/>
  <c r="L134" i="25"/>
  <c r="F146" i="25"/>
  <c r="I144" i="25"/>
  <c r="E148" i="25"/>
  <c r="G148" i="25"/>
  <c r="J136" i="25"/>
  <c r="M148" i="25"/>
  <c r="F147" i="25"/>
  <c r="I145" i="25"/>
  <c r="E149" i="25"/>
  <c r="M149" i="25"/>
  <c r="P40" i="22"/>
  <c r="J137" i="25"/>
  <c r="L136" i="25"/>
  <c r="Q39" i="22"/>
  <c r="G149" i="25"/>
  <c r="G150" i="25"/>
  <c r="G151" i="25"/>
  <c r="G152" i="25"/>
  <c r="G153" i="25"/>
  <c r="G154" i="25"/>
  <c r="G155" i="25"/>
  <c r="G156" i="25"/>
  <c r="G157" i="25"/>
  <c r="G158" i="25"/>
  <c r="G159" i="25"/>
  <c r="F148" i="25"/>
  <c r="I146" i="25"/>
  <c r="E150" i="25"/>
  <c r="M150" i="25"/>
  <c r="J138" i="25"/>
  <c r="L137" i="25"/>
  <c r="P43" i="22"/>
  <c r="P54" i="22"/>
  <c r="P51" i="22"/>
  <c r="F149" i="25"/>
  <c r="I147" i="25"/>
  <c r="J139" i="25"/>
  <c r="L138" i="25"/>
  <c r="E151" i="25"/>
  <c r="M151" i="25"/>
  <c r="F150" i="25"/>
  <c r="I148" i="25"/>
  <c r="E152" i="25"/>
  <c r="M152" i="25"/>
  <c r="F151" i="25"/>
  <c r="I149" i="25"/>
  <c r="J140" i="25"/>
  <c r="L139" i="25"/>
  <c r="J141" i="25"/>
  <c r="L140" i="25"/>
  <c r="E153" i="25"/>
  <c r="M153" i="25"/>
  <c r="F152" i="25"/>
  <c r="I150" i="25"/>
  <c r="E154" i="25"/>
  <c r="M154" i="25"/>
  <c r="F153" i="25"/>
  <c r="I151" i="25"/>
  <c r="J142" i="25"/>
  <c r="L141" i="25"/>
  <c r="J143" i="25"/>
  <c r="L142" i="25"/>
  <c r="E155" i="25"/>
  <c r="M155" i="25"/>
  <c r="F154" i="25"/>
  <c r="I152" i="25"/>
  <c r="E156" i="25"/>
  <c r="M156" i="25"/>
  <c r="F155" i="25"/>
  <c r="I153" i="25"/>
  <c r="J144" i="25"/>
  <c r="L143" i="25"/>
  <c r="J145" i="25"/>
  <c r="L144" i="25"/>
  <c r="E157" i="25"/>
  <c r="M157" i="25"/>
  <c r="F156" i="25"/>
  <c r="I154" i="25"/>
  <c r="E158" i="25"/>
  <c r="M158" i="25"/>
  <c r="F157" i="25"/>
  <c r="I155" i="25"/>
  <c r="J146" i="25"/>
  <c r="L145" i="25"/>
  <c r="J147" i="25"/>
  <c r="L147" i="25"/>
  <c r="L146" i="25"/>
  <c r="E159" i="25"/>
  <c r="M159" i="25"/>
  <c r="F158" i="25"/>
  <c r="I156" i="25"/>
  <c r="E160" i="25"/>
  <c r="G160" i="25"/>
  <c r="J148" i="25"/>
  <c r="M160" i="25"/>
  <c r="F159" i="25"/>
  <c r="I157" i="25"/>
  <c r="E161" i="25"/>
  <c r="M161" i="25"/>
  <c r="R39" i="22"/>
  <c r="G161" i="25"/>
  <c r="G162" i="25"/>
  <c r="G163" i="25"/>
  <c r="G164" i="25"/>
  <c r="G165" i="25"/>
  <c r="G166" i="25"/>
  <c r="G167" i="25"/>
  <c r="G168" i="25"/>
  <c r="G169" i="25"/>
  <c r="G170" i="25"/>
  <c r="G171" i="25"/>
  <c r="Q40" i="22"/>
  <c r="J149" i="25"/>
  <c r="L148" i="25"/>
  <c r="F160" i="25"/>
  <c r="I158" i="25"/>
  <c r="E162" i="25"/>
  <c r="M162" i="25"/>
  <c r="Q43" i="22"/>
  <c r="Q54" i="22"/>
  <c r="Q51" i="22"/>
  <c r="F161" i="25"/>
  <c r="I159" i="25"/>
  <c r="J150" i="25"/>
  <c r="L149" i="25"/>
  <c r="E163" i="25"/>
  <c r="M163" i="25"/>
  <c r="F162" i="25"/>
  <c r="I160" i="25"/>
  <c r="J151" i="25"/>
  <c r="L150" i="25"/>
  <c r="J152" i="25"/>
  <c r="L151" i="25"/>
  <c r="E164" i="25"/>
  <c r="M164" i="25"/>
  <c r="F163" i="25"/>
  <c r="I161" i="25"/>
  <c r="F164" i="25"/>
  <c r="I162" i="25"/>
  <c r="E165" i="25"/>
  <c r="M165" i="25"/>
  <c r="J153" i="25"/>
  <c r="L152" i="25"/>
  <c r="J154" i="25"/>
  <c r="L153" i="25"/>
  <c r="E166" i="25"/>
  <c r="M166" i="25"/>
  <c r="F165" i="25"/>
  <c r="I163" i="25"/>
  <c r="E167" i="25"/>
  <c r="M167" i="25"/>
  <c r="F166" i="25"/>
  <c r="I164" i="25"/>
  <c r="J155" i="25"/>
  <c r="L154" i="25"/>
  <c r="J156" i="25"/>
  <c r="L155" i="25"/>
  <c r="E168" i="25"/>
  <c r="M168" i="25"/>
  <c r="F167" i="25"/>
  <c r="I165" i="25"/>
  <c r="E169" i="25"/>
  <c r="M169" i="25"/>
  <c r="F168" i="25"/>
  <c r="I166" i="25"/>
  <c r="J157" i="25"/>
  <c r="L156" i="25"/>
  <c r="J158" i="25"/>
  <c r="L157" i="25"/>
  <c r="E170" i="25"/>
  <c r="M170" i="25"/>
  <c r="F169" i="25"/>
  <c r="I167" i="25"/>
  <c r="E171" i="25"/>
  <c r="M171" i="25"/>
  <c r="F170" i="25"/>
  <c r="I168" i="25"/>
  <c r="J159" i="25"/>
  <c r="L159" i="25"/>
  <c r="L158" i="25"/>
  <c r="F171" i="25"/>
  <c r="I169" i="25"/>
  <c r="E172" i="25"/>
  <c r="G172" i="25"/>
  <c r="J160" i="25"/>
  <c r="M172" i="25"/>
  <c r="F172" i="25"/>
  <c r="I170" i="25"/>
  <c r="S39" i="22"/>
  <c r="G173" i="25"/>
  <c r="G174" i="25"/>
  <c r="G175" i="25"/>
  <c r="G176" i="25"/>
  <c r="G177" i="25"/>
  <c r="G178" i="25"/>
  <c r="G179" i="25"/>
  <c r="G180" i="25"/>
  <c r="G181" i="25"/>
  <c r="G182" i="25"/>
  <c r="G183" i="25"/>
  <c r="R40" i="22"/>
  <c r="J161" i="25"/>
  <c r="L160" i="25"/>
  <c r="E173" i="25"/>
  <c r="M173" i="25"/>
  <c r="J162" i="25"/>
  <c r="L161" i="25"/>
  <c r="R51" i="22"/>
  <c r="R43" i="22"/>
  <c r="R54" i="22"/>
  <c r="E174" i="25"/>
  <c r="M174" i="25"/>
  <c r="F173" i="25"/>
  <c r="I171" i="25"/>
  <c r="F174" i="25"/>
  <c r="I172" i="25"/>
  <c r="E175" i="25"/>
  <c r="M175" i="25"/>
  <c r="J163" i="25"/>
  <c r="L162" i="25"/>
  <c r="E176" i="25"/>
  <c r="M176" i="25"/>
  <c r="J164" i="25"/>
  <c r="L163" i="25"/>
  <c r="F175" i="25"/>
  <c r="I173" i="25"/>
  <c r="J165" i="25"/>
  <c r="L164" i="25"/>
  <c r="E177" i="25"/>
  <c r="M177" i="25"/>
  <c r="F176" i="25"/>
  <c r="I174" i="25"/>
  <c r="E178" i="25"/>
  <c r="M178" i="25"/>
  <c r="J166" i="25"/>
  <c r="L165" i="25"/>
  <c r="F177" i="25"/>
  <c r="I175" i="25"/>
  <c r="J167" i="25"/>
  <c r="L166" i="25"/>
  <c r="F178" i="25"/>
  <c r="I176" i="25"/>
  <c r="E179" i="25"/>
  <c r="M179" i="25"/>
  <c r="F179" i="25"/>
  <c r="I177" i="25"/>
  <c r="J168" i="25"/>
  <c r="L167" i="25"/>
  <c r="E180" i="25"/>
  <c r="M180" i="25"/>
  <c r="F180" i="25"/>
  <c r="I178" i="25"/>
  <c r="J169" i="25"/>
  <c r="L168" i="25"/>
  <c r="E181" i="25"/>
  <c r="M181" i="25"/>
  <c r="F181" i="25"/>
  <c r="I179" i="25"/>
  <c r="J170" i="25"/>
  <c r="L169" i="25"/>
  <c r="E182" i="25"/>
  <c r="M182" i="25"/>
  <c r="E183" i="25"/>
  <c r="M183" i="25"/>
  <c r="F182" i="25"/>
  <c r="I180" i="25"/>
  <c r="J171" i="25"/>
  <c r="L171" i="25"/>
  <c r="L170" i="25"/>
  <c r="E184" i="25"/>
  <c r="J172" i="25"/>
  <c r="G184" i="25"/>
  <c r="M184" i="25"/>
  <c r="F183" i="25"/>
  <c r="I181" i="25"/>
  <c r="T39" i="22"/>
  <c r="G185" i="25"/>
  <c r="G186" i="25"/>
  <c r="G187" i="25"/>
  <c r="G188" i="25"/>
  <c r="G189" i="25"/>
  <c r="G190" i="25"/>
  <c r="G191" i="25"/>
  <c r="G192" i="25"/>
  <c r="G193" i="25"/>
  <c r="G194" i="25"/>
  <c r="G195" i="25"/>
  <c r="E185" i="25"/>
  <c r="M185" i="25"/>
  <c r="F184" i="25"/>
  <c r="I182" i="25"/>
  <c r="S40" i="22"/>
  <c r="J173" i="25"/>
  <c r="L172" i="25"/>
  <c r="E186" i="25"/>
  <c r="M186" i="25"/>
  <c r="F185" i="25"/>
  <c r="I183" i="25"/>
  <c r="J174" i="25"/>
  <c r="L173" i="25"/>
  <c r="S43" i="22"/>
  <c r="S54" i="22"/>
  <c r="S51" i="22"/>
  <c r="E187" i="25"/>
  <c r="M187" i="25"/>
  <c r="F186" i="25"/>
  <c r="I184" i="25"/>
  <c r="J175" i="25"/>
  <c r="L174" i="25"/>
  <c r="J176" i="25"/>
  <c r="L175" i="25"/>
  <c r="E188" i="25"/>
  <c r="M188" i="25"/>
  <c r="F187" i="25"/>
  <c r="I185" i="25"/>
  <c r="J177" i="25"/>
  <c r="L176" i="25"/>
  <c r="E189" i="25"/>
  <c r="M189" i="25"/>
  <c r="F188" i="25"/>
  <c r="I186" i="25"/>
  <c r="F189" i="25"/>
  <c r="I187" i="25"/>
  <c r="E190" i="25"/>
  <c r="M190" i="25"/>
  <c r="J178" i="25"/>
  <c r="L177" i="25"/>
  <c r="E191" i="25"/>
  <c r="M191" i="25"/>
  <c r="J179" i="25"/>
  <c r="L178" i="25"/>
  <c r="F190" i="25"/>
  <c r="I188" i="25"/>
  <c r="F191" i="25"/>
  <c r="I189" i="25"/>
  <c r="J180" i="25"/>
  <c r="L179" i="25"/>
  <c r="E192" i="25"/>
  <c r="M192" i="25"/>
  <c r="F192" i="25"/>
  <c r="I190" i="25"/>
  <c r="J181" i="25"/>
  <c r="L180" i="25"/>
  <c r="E193" i="25"/>
  <c r="M193" i="25"/>
  <c r="F193" i="25"/>
  <c r="I191" i="25"/>
  <c r="J182" i="25"/>
  <c r="L181" i="25"/>
  <c r="E194" i="25"/>
  <c r="M194" i="25"/>
  <c r="F194" i="25"/>
  <c r="I192" i="25"/>
  <c r="E195" i="25"/>
  <c r="M195" i="25"/>
  <c r="J183" i="25"/>
  <c r="L183" i="25"/>
  <c r="L182" i="25"/>
  <c r="E196" i="25"/>
  <c r="G196" i="25"/>
  <c r="M196" i="25"/>
  <c r="J184" i="25"/>
  <c r="F195" i="25"/>
  <c r="I193" i="25"/>
  <c r="T40" i="22"/>
  <c r="J185" i="25"/>
  <c r="L184" i="25"/>
  <c r="E197" i="25"/>
  <c r="M197" i="25"/>
  <c r="F196" i="25"/>
  <c r="I194" i="25"/>
  <c r="U39" i="22"/>
  <c r="G197" i="25"/>
  <c r="G198" i="25"/>
  <c r="G199" i="25"/>
  <c r="G200" i="25"/>
  <c r="G201" i="25"/>
  <c r="G202" i="25"/>
  <c r="G203" i="25"/>
  <c r="G204" i="25"/>
  <c r="G205" i="25"/>
  <c r="G206" i="25"/>
  <c r="G207" i="25"/>
  <c r="F197" i="25"/>
  <c r="I195" i="25"/>
  <c r="E198" i="25"/>
  <c r="M198" i="25"/>
  <c r="T51" i="22"/>
  <c r="D52" i="22"/>
  <c r="C24" i="2"/>
  <c r="T43" i="22"/>
  <c r="T54" i="22"/>
  <c r="J186" i="25"/>
  <c r="L185" i="25"/>
  <c r="E199" i="25"/>
  <c r="M199" i="25"/>
  <c r="D24" i="2"/>
  <c r="E24" i="2"/>
  <c r="J187" i="25"/>
  <c r="L186" i="25"/>
  <c r="F198" i="25"/>
  <c r="I196" i="25"/>
  <c r="J188" i="25"/>
  <c r="L187" i="25"/>
  <c r="E200" i="25"/>
  <c r="M200" i="25"/>
  <c r="F199" i="25"/>
  <c r="I197" i="25"/>
  <c r="E201" i="25"/>
  <c r="M201" i="25"/>
  <c r="F200" i="25"/>
  <c r="I198" i="25"/>
  <c r="J189" i="25"/>
  <c r="L188" i="25"/>
  <c r="J190" i="25"/>
  <c r="L189" i="25"/>
  <c r="F201" i="25"/>
  <c r="I199" i="25"/>
  <c r="E202" i="25"/>
  <c r="M202" i="25"/>
  <c r="F202" i="25"/>
  <c r="I200" i="25"/>
  <c r="E203" i="25"/>
  <c r="M203" i="25"/>
  <c r="J191" i="25"/>
  <c r="L190" i="25"/>
  <c r="J192" i="25"/>
  <c r="L191" i="25"/>
  <c r="F203" i="25"/>
  <c r="I201" i="25"/>
  <c r="E204" i="25"/>
  <c r="M204" i="25"/>
  <c r="F204" i="25"/>
  <c r="I202" i="25"/>
  <c r="E205" i="25"/>
  <c r="M205" i="25"/>
  <c r="J193" i="25"/>
  <c r="L192" i="25"/>
  <c r="J194" i="25"/>
  <c r="L193" i="25"/>
  <c r="F205" i="25"/>
  <c r="I203" i="25"/>
  <c r="E206" i="25"/>
  <c r="M206" i="25"/>
  <c r="F206" i="25"/>
  <c r="I204" i="25"/>
  <c r="E207" i="25"/>
  <c r="M207" i="25"/>
  <c r="J195" i="25"/>
  <c r="L195" i="25"/>
  <c r="L194" i="25"/>
  <c r="E208" i="25"/>
  <c r="G208" i="25"/>
  <c r="J196" i="25"/>
  <c r="M208" i="25"/>
  <c r="F207" i="25"/>
  <c r="I205" i="25"/>
  <c r="E209" i="25"/>
  <c r="M209" i="25"/>
  <c r="V39" i="22"/>
  <c r="G209" i="25"/>
  <c r="G210" i="25"/>
  <c r="G211" i="25"/>
  <c r="G212" i="25"/>
  <c r="G213" i="25"/>
  <c r="G214" i="25"/>
  <c r="G215" i="25"/>
  <c r="G216" i="25"/>
  <c r="G217" i="25"/>
  <c r="G218" i="25"/>
  <c r="G219" i="25"/>
  <c r="U40" i="22"/>
  <c r="J197" i="25"/>
  <c r="L196" i="25"/>
  <c r="F208" i="25"/>
  <c r="I206" i="25"/>
  <c r="U51" i="22"/>
  <c r="U43" i="22"/>
  <c r="U54" i="22"/>
  <c r="F209" i="25"/>
  <c r="I207" i="25"/>
  <c r="E210" i="25"/>
  <c r="M210" i="25"/>
  <c r="J198" i="25"/>
  <c r="L197" i="25"/>
  <c r="J199" i="25"/>
  <c r="L198" i="25"/>
  <c r="E211" i="25"/>
  <c r="M211" i="25"/>
  <c r="F210" i="25"/>
  <c r="I208" i="25"/>
  <c r="F211" i="25"/>
  <c r="I209" i="25"/>
  <c r="J200" i="25"/>
  <c r="L199" i="25"/>
  <c r="E212" i="25"/>
  <c r="M212" i="25"/>
  <c r="F212" i="25"/>
  <c r="I210" i="25"/>
  <c r="E213" i="25"/>
  <c r="M213" i="25"/>
  <c r="J201" i="25"/>
  <c r="L200" i="25"/>
  <c r="E214" i="25"/>
  <c r="M214" i="25"/>
  <c r="J202" i="25"/>
  <c r="L201" i="25"/>
  <c r="F213" i="25"/>
  <c r="I211" i="25"/>
  <c r="J203" i="25"/>
  <c r="L202" i="25"/>
  <c r="E215" i="25"/>
  <c r="M215" i="25"/>
  <c r="F214" i="25"/>
  <c r="I212" i="25"/>
  <c r="J204" i="25"/>
  <c r="L203" i="25"/>
  <c r="E216" i="25"/>
  <c r="M216" i="25"/>
  <c r="F215" i="25"/>
  <c r="I213" i="25"/>
  <c r="E217" i="25"/>
  <c r="M217" i="25"/>
  <c r="F216" i="25"/>
  <c r="I214" i="25"/>
  <c r="J205" i="25"/>
  <c r="L204" i="25"/>
  <c r="J206" i="25"/>
  <c r="L205" i="25"/>
  <c r="E218" i="25"/>
  <c r="M218" i="25"/>
  <c r="F217" i="25"/>
  <c r="I215" i="25"/>
  <c r="E219" i="25"/>
  <c r="M219" i="25"/>
  <c r="F218" i="25"/>
  <c r="I216" i="25"/>
  <c r="J207" i="25"/>
  <c r="L207" i="25"/>
  <c r="L206" i="25"/>
  <c r="E220" i="25"/>
  <c r="G220" i="25"/>
  <c r="J208" i="25"/>
  <c r="M220" i="25"/>
  <c r="F219" i="25"/>
  <c r="I217" i="25"/>
  <c r="E221" i="25"/>
  <c r="M221" i="25"/>
  <c r="V40" i="22"/>
  <c r="J209" i="25"/>
  <c r="L208" i="25"/>
  <c r="W39" i="22"/>
  <c r="G221" i="25"/>
  <c r="G222" i="25"/>
  <c r="G223" i="25"/>
  <c r="G224" i="25"/>
  <c r="G225" i="25"/>
  <c r="G226" i="25"/>
  <c r="G227" i="25"/>
  <c r="G228" i="25"/>
  <c r="G229" i="25"/>
  <c r="G230" i="25"/>
  <c r="G231" i="25"/>
  <c r="F220" i="25"/>
  <c r="I218" i="25"/>
  <c r="V43" i="22"/>
  <c r="V54" i="22"/>
  <c r="V51" i="22"/>
  <c r="E222" i="25"/>
  <c r="M222" i="25"/>
  <c r="F221" i="25"/>
  <c r="I219" i="25"/>
  <c r="J210" i="25"/>
  <c r="L209" i="25"/>
  <c r="J211" i="25"/>
  <c r="L210" i="25"/>
  <c r="E223" i="25"/>
  <c r="M223" i="25"/>
  <c r="F222" i="25"/>
  <c r="I220" i="25"/>
  <c r="E224" i="25"/>
  <c r="M224" i="25"/>
  <c r="F223" i="25"/>
  <c r="I221" i="25"/>
  <c r="J212" i="25"/>
  <c r="L211" i="25"/>
  <c r="J213" i="25"/>
  <c r="L212" i="25"/>
  <c r="E225" i="25"/>
  <c r="M225" i="25"/>
  <c r="F224" i="25"/>
  <c r="I222" i="25"/>
  <c r="F225" i="25"/>
  <c r="I223" i="25"/>
  <c r="J214" i="25"/>
  <c r="L213" i="25"/>
  <c r="E226" i="25"/>
  <c r="M226" i="25"/>
  <c r="F226" i="25"/>
  <c r="I224" i="25"/>
  <c r="E227" i="25"/>
  <c r="M227" i="25"/>
  <c r="J215" i="25"/>
  <c r="L214" i="25"/>
  <c r="J216" i="25"/>
  <c r="L215" i="25"/>
  <c r="E228" i="25"/>
  <c r="M228" i="25"/>
  <c r="F227" i="25"/>
  <c r="I225" i="25"/>
  <c r="E229" i="25"/>
  <c r="M229" i="25"/>
  <c r="F228" i="25"/>
  <c r="I226" i="25"/>
  <c r="J217" i="25"/>
  <c r="L216" i="25"/>
  <c r="J218" i="25"/>
  <c r="L217" i="25"/>
  <c r="E230" i="25"/>
  <c r="M230" i="25"/>
  <c r="F229" i="25"/>
  <c r="I227" i="25"/>
  <c r="E231" i="25"/>
  <c r="M231" i="25"/>
  <c r="F230" i="25"/>
  <c r="I228" i="25"/>
  <c r="J219" i="25"/>
  <c r="L219" i="25"/>
  <c r="L218" i="25"/>
  <c r="E232" i="25"/>
  <c r="J220" i="25"/>
  <c r="M232" i="25"/>
  <c r="G232" i="25"/>
  <c r="F231" i="25"/>
  <c r="I229" i="25"/>
  <c r="X39" i="22"/>
  <c r="G233" i="25"/>
  <c r="G234" i="25"/>
  <c r="G235" i="25"/>
  <c r="G236" i="25"/>
  <c r="G237" i="25"/>
  <c r="G238" i="25"/>
  <c r="G239" i="25"/>
  <c r="G240" i="25"/>
  <c r="G241" i="25"/>
  <c r="G242" i="25"/>
  <c r="G243" i="25"/>
  <c r="E233" i="25"/>
  <c r="M233" i="25"/>
  <c r="F232" i="25"/>
  <c r="I230" i="25"/>
  <c r="W40" i="22"/>
  <c r="J221" i="25"/>
  <c r="L220" i="25"/>
  <c r="F233" i="25"/>
  <c r="I231" i="25"/>
  <c r="E234" i="25"/>
  <c r="M234" i="25"/>
  <c r="J222" i="25"/>
  <c r="L221" i="25"/>
  <c r="W51" i="22"/>
  <c r="W43" i="22"/>
  <c r="W54" i="22"/>
  <c r="F234" i="25"/>
  <c r="I232" i="25"/>
  <c r="J223" i="25"/>
  <c r="L222" i="25"/>
  <c r="E235" i="25"/>
  <c r="M235" i="25"/>
  <c r="E236" i="25"/>
  <c r="M236" i="25"/>
  <c r="F235" i="25"/>
  <c r="I233" i="25"/>
  <c r="J224" i="25"/>
  <c r="L223" i="25"/>
  <c r="J225" i="25"/>
  <c r="L224" i="25"/>
  <c r="E237" i="25"/>
  <c r="M237" i="25"/>
  <c r="F236" i="25"/>
  <c r="I234" i="25"/>
  <c r="E238" i="25"/>
  <c r="M238" i="25"/>
  <c r="F237" i="25"/>
  <c r="I235" i="25"/>
  <c r="J226" i="25"/>
  <c r="L225" i="25"/>
  <c r="J227" i="25"/>
  <c r="L226" i="25"/>
  <c r="F238" i="25"/>
  <c r="I236" i="25"/>
  <c r="E239" i="25"/>
  <c r="M239" i="25"/>
  <c r="F239" i="25"/>
  <c r="I237" i="25"/>
  <c r="E240" i="25"/>
  <c r="M240" i="25"/>
  <c r="J228" i="25"/>
  <c r="L227" i="25"/>
  <c r="J229" i="25"/>
  <c r="L228" i="25"/>
  <c r="F240" i="25"/>
  <c r="I238" i="25"/>
  <c r="E241" i="25"/>
  <c r="M241" i="25"/>
  <c r="F241" i="25"/>
  <c r="I239" i="25"/>
  <c r="E242" i="25"/>
  <c r="M242" i="25"/>
  <c r="J230" i="25"/>
  <c r="L229" i="25"/>
  <c r="E243" i="25"/>
  <c r="M243" i="25"/>
  <c r="J231" i="25"/>
  <c r="L231" i="25"/>
  <c r="L230" i="25"/>
  <c r="F242" i="25"/>
  <c r="I240" i="25"/>
  <c r="E244" i="25"/>
  <c r="G244" i="25"/>
  <c r="M244" i="25"/>
  <c r="J232" i="25"/>
  <c r="F243" i="25"/>
  <c r="I241" i="25"/>
  <c r="X40" i="22"/>
  <c r="J233" i="25"/>
  <c r="L232" i="25"/>
  <c r="E245" i="25"/>
  <c r="M245" i="25"/>
  <c r="Y39" i="22"/>
  <c r="G245" i="25"/>
  <c r="G246" i="25"/>
  <c r="G247" i="25"/>
  <c r="G248" i="25"/>
  <c r="G249" i="25"/>
  <c r="G250" i="25"/>
  <c r="G251" i="25"/>
  <c r="G252" i="25"/>
  <c r="G253" i="25"/>
  <c r="G254" i="25"/>
  <c r="G255" i="25"/>
  <c r="F244" i="25"/>
  <c r="I242" i="25"/>
  <c r="F245" i="25"/>
  <c r="I243" i="25"/>
  <c r="J234" i="25"/>
  <c r="L233" i="25"/>
  <c r="E246" i="25"/>
  <c r="M246" i="25"/>
  <c r="X51" i="22"/>
  <c r="X43" i="22"/>
  <c r="X54" i="22"/>
  <c r="E247" i="25"/>
  <c r="M247" i="25"/>
  <c r="J235" i="25"/>
  <c r="L234" i="25"/>
  <c r="F246" i="25"/>
  <c r="I244" i="25"/>
  <c r="E248" i="25"/>
  <c r="M248" i="25"/>
  <c r="F247" i="25"/>
  <c r="I245" i="25"/>
  <c r="J236" i="25"/>
  <c r="L235" i="25"/>
  <c r="J237" i="25"/>
  <c r="L236" i="25"/>
  <c r="F248" i="25"/>
  <c r="I246" i="25"/>
  <c r="E249" i="25"/>
  <c r="M249" i="25"/>
  <c r="F249" i="25"/>
  <c r="I247" i="25"/>
  <c r="E250" i="25"/>
  <c r="M250" i="25"/>
  <c r="J238" i="25"/>
  <c r="L237" i="25"/>
  <c r="J239" i="25"/>
  <c r="L238" i="25"/>
  <c r="F250" i="25"/>
  <c r="I248" i="25"/>
  <c r="E251" i="25"/>
  <c r="M251" i="25"/>
  <c r="E252" i="25"/>
  <c r="M252" i="25"/>
  <c r="F251" i="25"/>
  <c r="I249" i="25"/>
  <c r="J240" i="25"/>
  <c r="L239" i="25"/>
  <c r="E253" i="25"/>
  <c r="M253" i="25"/>
  <c r="J241" i="25"/>
  <c r="L240" i="25"/>
  <c r="F252" i="25"/>
  <c r="I250" i="25"/>
  <c r="E254" i="25"/>
  <c r="M254" i="25"/>
  <c r="J242" i="25"/>
  <c r="L241" i="25"/>
  <c r="F253" i="25"/>
  <c r="I251" i="25"/>
  <c r="J243" i="25"/>
  <c r="L243" i="25"/>
  <c r="L242" i="25"/>
  <c r="E255" i="25"/>
  <c r="M255" i="25"/>
  <c r="F254" i="25"/>
  <c r="I252" i="25"/>
  <c r="E256" i="25"/>
  <c r="G256" i="25"/>
  <c r="J244" i="25"/>
  <c r="M256" i="25"/>
  <c r="F255" i="25"/>
  <c r="I253" i="25"/>
  <c r="E257" i="25"/>
  <c r="M257" i="25"/>
  <c r="Z39" i="22"/>
  <c r="G257" i="25"/>
  <c r="G258" i="25"/>
  <c r="G259" i="25"/>
  <c r="G260" i="25"/>
  <c r="G261" i="25"/>
  <c r="G262" i="25"/>
  <c r="G263" i="25"/>
  <c r="G264" i="25"/>
  <c r="G265" i="25"/>
  <c r="G266" i="25"/>
  <c r="G267" i="25"/>
  <c r="J245" i="25"/>
  <c r="Y40" i="22"/>
  <c r="L244" i="25"/>
  <c r="F256" i="25"/>
  <c r="I254" i="25"/>
  <c r="J246" i="25"/>
  <c r="L245" i="25"/>
  <c r="F257" i="25"/>
  <c r="I255" i="25"/>
  <c r="E258" i="25"/>
  <c r="M258" i="25"/>
  <c r="Y51" i="22"/>
  <c r="Y43" i="22"/>
  <c r="Y54" i="22"/>
  <c r="J247" i="25"/>
  <c r="L246" i="25"/>
  <c r="F258" i="25"/>
  <c r="I256" i="25"/>
  <c r="E259" i="25"/>
  <c r="M259" i="25"/>
  <c r="F259" i="25"/>
  <c r="I257" i="25"/>
  <c r="J248" i="25"/>
  <c r="L247" i="25"/>
  <c r="E260" i="25"/>
  <c r="M260" i="25"/>
  <c r="F260" i="25"/>
  <c r="I258" i="25"/>
  <c r="J249" i="25"/>
  <c r="L248" i="25"/>
  <c r="E261" i="25"/>
  <c r="M261" i="25"/>
  <c r="F261" i="25"/>
  <c r="I259" i="25"/>
  <c r="E262" i="25"/>
  <c r="M262" i="25"/>
  <c r="J250" i="25"/>
  <c r="L249" i="25"/>
  <c r="J251" i="25"/>
  <c r="L250" i="25"/>
  <c r="E263" i="25"/>
  <c r="M263" i="25"/>
  <c r="F262" i="25"/>
  <c r="I260" i="25"/>
  <c r="E264" i="25"/>
  <c r="M264" i="25"/>
  <c r="F263" i="25"/>
  <c r="I261" i="25"/>
  <c r="J252" i="25"/>
  <c r="L251" i="25"/>
  <c r="J253" i="25"/>
  <c r="L252" i="25"/>
  <c r="E265" i="25"/>
  <c r="M265" i="25"/>
  <c r="F264" i="25"/>
  <c r="I262" i="25"/>
  <c r="E266" i="25"/>
  <c r="M266" i="25"/>
  <c r="F265" i="25"/>
  <c r="I263" i="25"/>
  <c r="J254" i="25"/>
  <c r="L253" i="25"/>
  <c r="F266" i="25"/>
  <c r="I264" i="25"/>
  <c r="J255" i="25"/>
  <c r="L255" i="25"/>
  <c r="L254" i="25"/>
  <c r="E267" i="25"/>
  <c r="M267" i="25"/>
  <c r="F267" i="25"/>
  <c r="I265" i="25"/>
  <c r="E268" i="25"/>
  <c r="G268" i="25"/>
  <c r="M268" i="25"/>
  <c r="J256" i="25"/>
  <c r="E269" i="25"/>
  <c r="M269" i="25"/>
  <c r="F268" i="25"/>
  <c r="I266" i="25"/>
  <c r="AA39" i="22"/>
  <c r="G269" i="25"/>
  <c r="G270" i="25"/>
  <c r="G271" i="25"/>
  <c r="G272" i="25"/>
  <c r="G273" i="25"/>
  <c r="G274" i="25"/>
  <c r="G275" i="25"/>
  <c r="G276" i="25"/>
  <c r="G277" i="25"/>
  <c r="G278" i="25"/>
  <c r="G279" i="25"/>
  <c r="Z40" i="22"/>
  <c r="J257" i="25"/>
  <c r="L256" i="25"/>
  <c r="E270" i="25"/>
  <c r="M270" i="25"/>
  <c r="J258" i="25"/>
  <c r="L257" i="25"/>
  <c r="F269" i="25"/>
  <c r="I267" i="25"/>
  <c r="Z51" i="22"/>
  <c r="Z43" i="22"/>
  <c r="Z54" i="22"/>
  <c r="F270" i="25"/>
  <c r="I268" i="25"/>
  <c r="J259" i="25"/>
  <c r="L258" i="25"/>
  <c r="E271" i="25"/>
  <c r="M271" i="25"/>
  <c r="E272" i="25"/>
  <c r="M272" i="25"/>
  <c r="F271" i="25"/>
  <c r="I269" i="25"/>
  <c r="J260" i="25"/>
  <c r="L259" i="25"/>
  <c r="J261" i="25"/>
  <c r="L260" i="25"/>
  <c r="F272" i="25"/>
  <c r="I270" i="25"/>
  <c r="E273" i="25"/>
  <c r="M273" i="25"/>
  <c r="F273" i="25"/>
  <c r="I271" i="25"/>
  <c r="E274" i="25"/>
  <c r="M274" i="25"/>
  <c r="J262" i="25"/>
  <c r="L261" i="25"/>
  <c r="E275" i="25"/>
  <c r="M275" i="25"/>
  <c r="J263" i="25"/>
  <c r="L262" i="25"/>
  <c r="F274" i="25"/>
  <c r="I272" i="25"/>
  <c r="J264" i="25"/>
  <c r="L263" i="25"/>
  <c r="F275" i="25"/>
  <c r="I273" i="25"/>
  <c r="E276" i="25"/>
  <c r="M276" i="25"/>
  <c r="F276" i="25"/>
  <c r="I274" i="25"/>
  <c r="J265" i="25"/>
  <c r="L264" i="25"/>
  <c r="E277" i="25"/>
  <c r="M277" i="25"/>
  <c r="F277" i="25"/>
  <c r="I275" i="25"/>
  <c r="J266" i="25"/>
  <c r="L265" i="25"/>
  <c r="E278" i="25"/>
  <c r="M278" i="25"/>
  <c r="F278" i="25"/>
  <c r="I276" i="25"/>
  <c r="E279" i="25"/>
  <c r="M279" i="25"/>
  <c r="J267" i="25"/>
  <c r="L267" i="25"/>
  <c r="L266" i="25"/>
  <c r="F279" i="25"/>
  <c r="I277" i="25"/>
  <c r="E280" i="25"/>
  <c r="G280" i="25"/>
  <c r="J268" i="25"/>
  <c r="M280" i="25"/>
  <c r="E281" i="25"/>
  <c r="M281" i="25"/>
  <c r="F280" i="25"/>
  <c r="I278" i="25"/>
  <c r="AB39" i="22"/>
  <c r="G281" i="25"/>
  <c r="G282" i="25"/>
  <c r="G283" i="25"/>
  <c r="G284" i="25"/>
  <c r="G285" i="25"/>
  <c r="G286" i="25"/>
  <c r="G287" i="25"/>
  <c r="G288" i="25"/>
  <c r="G289" i="25"/>
  <c r="G290" i="25"/>
  <c r="G291" i="25"/>
  <c r="AA40" i="22"/>
  <c r="J269" i="25"/>
  <c r="L268" i="25"/>
  <c r="J270" i="25"/>
  <c r="L269" i="25"/>
  <c r="E282" i="25"/>
  <c r="M282" i="25"/>
  <c r="AA43" i="22"/>
  <c r="AA54" i="22"/>
  <c r="AA51" i="22"/>
  <c r="F281" i="25"/>
  <c r="I279" i="25"/>
  <c r="F282" i="25"/>
  <c r="I280" i="25"/>
  <c r="J271" i="25"/>
  <c r="L270" i="25"/>
  <c r="E283" i="25"/>
  <c r="M283" i="25"/>
  <c r="F283" i="25"/>
  <c r="I281" i="25"/>
  <c r="J272" i="25"/>
  <c r="L271" i="25"/>
  <c r="E284" i="25"/>
  <c r="M284" i="25"/>
  <c r="F284" i="25"/>
  <c r="I282" i="25"/>
  <c r="E285" i="25"/>
  <c r="M285" i="25"/>
  <c r="J273" i="25"/>
  <c r="L272" i="25"/>
  <c r="E286" i="25"/>
  <c r="M286" i="25"/>
  <c r="J274" i="25"/>
  <c r="L273" i="25"/>
  <c r="F285" i="25"/>
  <c r="I283" i="25"/>
  <c r="J275" i="25"/>
  <c r="L274" i="25"/>
  <c r="E287" i="25"/>
  <c r="M287" i="25"/>
  <c r="F286" i="25"/>
  <c r="I284" i="25"/>
  <c r="F287" i="25"/>
  <c r="I285" i="25"/>
  <c r="J276" i="25"/>
  <c r="L275" i="25"/>
  <c r="E288" i="25"/>
  <c r="M288" i="25"/>
  <c r="F288" i="25"/>
  <c r="I286" i="25"/>
  <c r="E289" i="25"/>
  <c r="M289" i="25"/>
  <c r="J277" i="25"/>
  <c r="L276" i="25"/>
  <c r="E290" i="25"/>
  <c r="M290" i="25"/>
  <c r="J278" i="25"/>
  <c r="L277" i="25"/>
  <c r="F289" i="25"/>
  <c r="I287" i="25"/>
  <c r="E291" i="25"/>
  <c r="M291" i="25"/>
  <c r="J279" i="25"/>
  <c r="L279" i="25"/>
  <c r="L278" i="25"/>
  <c r="F290" i="25"/>
  <c r="I288" i="25"/>
  <c r="F291" i="25"/>
  <c r="I289" i="25"/>
  <c r="E292" i="25"/>
  <c r="J280" i="25"/>
  <c r="G292" i="25"/>
  <c r="M292" i="25"/>
  <c r="AC39" i="22"/>
  <c r="G293" i="25"/>
  <c r="G294" i="25"/>
  <c r="G295" i="25"/>
  <c r="G296" i="25"/>
  <c r="G297" i="25"/>
  <c r="G298" i="25"/>
  <c r="G299" i="25"/>
  <c r="G300" i="25"/>
  <c r="G301" i="25"/>
  <c r="G302" i="25"/>
  <c r="G303" i="25"/>
  <c r="AB40" i="22"/>
  <c r="J281" i="25"/>
  <c r="L280" i="25"/>
  <c r="E293" i="25"/>
  <c r="M293" i="25"/>
  <c r="F292" i="25"/>
  <c r="I290" i="25"/>
  <c r="AB43" i="22"/>
  <c r="AB54" i="22"/>
  <c r="AB51" i="22"/>
  <c r="J282" i="25"/>
  <c r="L281" i="25"/>
  <c r="F293" i="25"/>
  <c r="I291" i="25"/>
  <c r="E294" i="25"/>
  <c r="M294" i="25"/>
  <c r="E295" i="25"/>
  <c r="M295" i="25"/>
  <c r="J283" i="25"/>
  <c r="L282" i="25"/>
  <c r="F294" i="25"/>
  <c r="I292" i="25"/>
  <c r="E296" i="25"/>
  <c r="M296" i="25"/>
  <c r="J284" i="25"/>
  <c r="L283" i="25"/>
  <c r="F295" i="25"/>
  <c r="I293" i="25"/>
  <c r="J285" i="25"/>
  <c r="L284" i="25"/>
  <c r="F296" i="25"/>
  <c r="I294" i="25"/>
  <c r="E297" i="25"/>
  <c r="M297" i="25"/>
  <c r="F297" i="25"/>
  <c r="I295" i="25"/>
  <c r="E298" i="25"/>
  <c r="M298" i="25"/>
  <c r="J286" i="25"/>
  <c r="L285" i="25"/>
  <c r="E299" i="25"/>
  <c r="M299" i="25"/>
  <c r="J287" i="25"/>
  <c r="L286" i="25"/>
  <c r="F298" i="25"/>
  <c r="I296" i="25"/>
  <c r="J288" i="25"/>
  <c r="L287" i="25"/>
  <c r="E300" i="25"/>
  <c r="M300" i="25"/>
  <c r="F299" i="25"/>
  <c r="I297" i="25"/>
  <c r="J289" i="25"/>
  <c r="L288" i="25"/>
  <c r="E301" i="25"/>
  <c r="M301" i="25"/>
  <c r="F300" i="25"/>
  <c r="I298" i="25"/>
  <c r="E302" i="25"/>
  <c r="M302" i="25"/>
  <c r="F301" i="25"/>
  <c r="I299" i="25"/>
  <c r="J290" i="25"/>
  <c r="L289" i="25"/>
  <c r="J291" i="25"/>
  <c r="L291" i="25"/>
  <c r="L290" i="25"/>
  <c r="E303" i="25"/>
  <c r="M303" i="25"/>
  <c r="F302" i="25"/>
  <c r="I300" i="25"/>
  <c r="E304" i="25"/>
  <c r="G304" i="25"/>
  <c r="M304" i="25"/>
  <c r="J292" i="25"/>
  <c r="F303" i="25"/>
  <c r="I301" i="25"/>
  <c r="AD39" i="22"/>
  <c r="G305" i="25"/>
  <c r="G306" i="25"/>
  <c r="G307" i="25"/>
  <c r="G308" i="25"/>
  <c r="G309" i="25"/>
  <c r="G310" i="25"/>
  <c r="G311" i="25"/>
  <c r="G312" i="25"/>
  <c r="G313" i="25"/>
  <c r="G314" i="25"/>
  <c r="G315" i="25"/>
  <c r="AC40" i="22"/>
  <c r="J293" i="25"/>
  <c r="L292" i="25"/>
  <c r="E305" i="25"/>
  <c r="M305" i="25"/>
  <c r="F304" i="25"/>
  <c r="I302" i="25"/>
  <c r="J294" i="25"/>
  <c r="L293" i="25"/>
  <c r="AC51" i="22"/>
  <c r="AC43" i="22"/>
  <c r="AC54" i="22"/>
  <c r="E306" i="25"/>
  <c r="M306" i="25"/>
  <c r="F305" i="25"/>
  <c r="I303" i="25"/>
  <c r="E307" i="25"/>
  <c r="M307" i="25"/>
  <c r="F306" i="25"/>
  <c r="I304" i="25"/>
  <c r="J295" i="25"/>
  <c r="L294" i="25"/>
  <c r="J296" i="25"/>
  <c r="L295" i="25"/>
  <c r="E308" i="25"/>
  <c r="M308" i="25"/>
  <c r="F307" i="25"/>
  <c r="I305" i="25"/>
  <c r="E309" i="25"/>
  <c r="M309" i="25"/>
  <c r="F308" i="25"/>
  <c r="I306" i="25"/>
  <c r="J297" i="25"/>
  <c r="L296" i="25"/>
  <c r="E310" i="25"/>
  <c r="M310" i="25"/>
  <c r="J298" i="25"/>
  <c r="L297" i="25"/>
  <c r="F309" i="25"/>
  <c r="I307" i="25"/>
  <c r="J299" i="25"/>
  <c r="L298" i="25"/>
  <c r="F310" i="25"/>
  <c r="I308" i="25"/>
  <c r="E311" i="25"/>
  <c r="M311" i="25"/>
  <c r="E312" i="25"/>
  <c r="M312" i="25"/>
  <c r="F311" i="25"/>
  <c r="I309" i="25"/>
  <c r="J300" i="25"/>
  <c r="L299" i="25"/>
  <c r="J301" i="25"/>
  <c r="L300" i="25"/>
  <c r="F312" i="25"/>
  <c r="I310" i="25"/>
  <c r="E313" i="25"/>
  <c r="M313" i="25"/>
  <c r="F313" i="25"/>
  <c r="I311" i="25"/>
  <c r="E314" i="25"/>
  <c r="M314" i="25"/>
  <c r="J302" i="25"/>
  <c r="L301" i="25"/>
  <c r="J303" i="25"/>
  <c r="L303" i="25"/>
  <c r="L302" i="25"/>
  <c r="F314" i="25"/>
  <c r="I312" i="25"/>
  <c r="E315" i="25"/>
  <c r="M315" i="25"/>
  <c r="E316" i="25"/>
  <c r="G316" i="25"/>
  <c r="J304" i="25"/>
  <c r="M316" i="25"/>
  <c r="F315" i="25"/>
  <c r="I313" i="25"/>
  <c r="E317" i="25"/>
  <c r="M317" i="25"/>
  <c r="AE39" i="22"/>
  <c r="G317" i="25"/>
  <c r="G318" i="25"/>
  <c r="G319" i="25"/>
  <c r="G320" i="25"/>
  <c r="G321" i="25"/>
  <c r="G322" i="25"/>
  <c r="G323" i="25"/>
  <c r="G324" i="25"/>
  <c r="G325" i="25"/>
  <c r="G326" i="25"/>
  <c r="G327" i="25"/>
  <c r="AD40" i="22"/>
  <c r="J305" i="25"/>
  <c r="L304" i="25"/>
  <c r="F316" i="25"/>
  <c r="I314" i="25"/>
  <c r="AD51" i="22"/>
  <c r="AD43" i="22"/>
  <c r="AD54" i="22"/>
  <c r="E318" i="25"/>
  <c r="M318" i="25"/>
  <c r="F317" i="25"/>
  <c r="I315" i="25"/>
  <c r="J306" i="25"/>
  <c r="L305" i="25"/>
  <c r="F318" i="25"/>
  <c r="I316" i="25"/>
  <c r="J307" i="25"/>
  <c r="L306" i="25"/>
  <c r="E319" i="25"/>
  <c r="M319" i="25"/>
  <c r="F319" i="25"/>
  <c r="I317" i="25"/>
  <c r="E320" i="25"/>
  <c r="M320" i="25"/>
  <c r="J308" i="25"/>
  <c r="L307" i="25"/>
  <c r="E321" i="25"/>
  <c r="M321" i="25"/>
  <c r="J309" i="25"/>
  <c r="L308" i="25"/>
  <c r="F320" i="25"/>
  <c r="I318" i="25"/>
  <c r="J310" i="25"/>
  <c r="L309" i="25"/>
  <c r="F321" i="25"/>
  <c r="I319" i="25"/>
  <c r="E322" i="25"/>
  <c r="M322" i="25"/>
  <c r="F322" i="25"/>
  <c r="I320" i="25"/>
  <c r="J311" i="25"/>
  <c r="L310" i="25"/>
  <c r="E323" i="25"/>
  <c r="M323" i="25"/>
  <c r="F323" i="25"/>
  <c r="I321" i="25"/>
  <c r="J312" i="25"/>
  <c r="L311" i="25"/>
  <c r="E324" i="25"/>
  <c r="M324" i="25"/>
  <c r="E325" i="25"/>
  <c r="M325" i="25"/>
  <c r="F324" i="25"/>
  <c r="I322" i="25"/>
  <c r="J313" i="25"/>
  <c r="L312" i="25"/>
  <c r="J314" i="25"/>
  <c r="L313" i="25"/>
  <c r="E326" i="25"/>
  <c r="M326" i="25"/>
  <c r="F325" i="25"/>
  <c r="I323" i="25"/>
  <c r="E327" i="25"/>
  <c r="M327" i="25"/>
  <c r="F326" i="25"/>
  <c r="I324" i="25"/>
  <c r="J315" i="25"/>
  <c r="L315" i="25"/>
  <c r="L314" i="25"/>
  <c r="E328" i="25"/>
  <c r="J316" i="25"/>
  <c r="G328" i="25"/>
  <c r="M328" i="25"/>
  <c r="F327" i="25"/>
  <c r="I325" i="25"/>
  <c r="AE40" i="22"/>
  <c r="J317" i="25"/>
  <c r="L316" i="25"/>
  <c r="F328" i="25"/>
  <c r="I326" i="25"/>
  <c r="E329" i="25"/>
  <c r="M329" i="25"/>
  <c r="AF39" i="22"/>
  <c r="G329" i="25"/>
  <c r="G330" i="25"/>
  <c r="G331" i="25"/>
  <c r="G332" i="25"/>
  <c r="G333" i="25"/>
  <c r="G334" i="25"/>
  <c r="G335" i="25"/>
  <c r="G336" i="25"/>
  <c r="G337" i="25"/>
  <c r="G338" i="25"/>
  <c r="G339" i="25"/>
  <c r="J318" i="25"/>
  <c r="L317" i="25"/>
  <c r="F329" i="25"/>
  <c r="I327" i="25"/>
  <c r="E330" i="25"/>
  <c r="M330" i="25"/>
  <c r="AE51" i="22"/>
  <c r="AE43" i="22"/>
  <c r="AE54" i="22"/>
  <c r="J319" i="25"/>
  <c r="L318" i="25"/>
  <c r="E331" i="25"/>
  <c r="M331" i="25"/>
  <c r="F330" i="25"/>
  <c r="I328" i="25"/>
  <c r="E332" i="25"/>
  <c r="M332" i="25"/>
  <c r="J320" i="25"/>
  <c r="L319" i="25"/>
  <c r="F331" i="25"/>
  <c r="I329" i="25"/>
  <c r="J321" i="25"/>
  <c r="L320" i="25"/>
  <c r="E333" i="25"/>
  <c r="M333" i="25"/>
  <c r="F332" i="25"/>
  <c r="I330" i="25"/>
  <c r="F333" i="25"/>
  <c r="I331" i="25"/>
  <c r="J322" i="25"/>
  <c r="L321" i="25"/>
  <c r="E334" i="25"/>
  <c r="M334" i="25"/>
  <c r="F334" i="25"/>
  <c r="I332" i="25"/>
  <c r="J323" i="25"/>
  <c r="L322" i="25"/>
  <c r="E335" i="25"/>
  <c r="M335" i="25"/>
  <c r="F335" i="25"/>
  <c r="I333" i="25"/>
  <c r="J324" i="25"/>
  <c r="L323" i="25"/>
  <c r="E336" i="25"/>
  <c r="M336" i="25"/>
  <c r="F336" i="25"/>
  <c r="I334" i="25"/>
  <c r="E337" i="25"/>
  <c r="M337" i="25"/>
  <c r="J325" i="25"/>
  <c r="L324" i="25"/>
  <c r="E338" i="25"/>
  <c r="M338" i="25"/>
  <c r="J326" i="25"/>
  <c r="L325" i="25"/>
  <c r="F337" i="25"/>
  <c r="I335" i="25"/>
  <c r="J327" i="25"/>
  <c r="L327" i="25"/>
  <c r="L326" i="25"/>
  <c r="E339" i="25"/>
  <c r="M339" i="25"/>
  <c r="F338" i="25"/>
  <c r="I336" i="25"/>
  <c r="E340" i="25"/>
  <c r="J328" i="25"/>
  <c r="M340" i="25"/>
  <c r="G340" i="25"/>
  <c r="F339" i="25"/>
  <c r="I337" i="25"/>
  <c r="AG39" i="22"/>
  <c r="G341" i="25"/>
  <c r="G342" i="25"/>
  <c r="G343" i="25"/>
  <c r="G344" i="25"/>
  <c r="G345" i="25"/>
  <c r="G346" i="25"/>
  <c r="G347" i="25"/>
  <c r="G348" i="25"/>
  <c r="G349" i="25"/>
  <c r="G350" i="25"/>
  <c r="G351" i="25"/>
  <c r="E341" i="25"/>
  <c r="M341" i="25"/>
  <c r="AF40" i="22"/>
  <c r="J329" i="25"/>
  <c r="L328" i="25"/>
  <c r="F340" i="25"/>
  <c r="I338" i="25"/>
  <c r="AF51" i="22"/>
  <c r="AF43" i="22"/>
  <c r="AF54" i="22"/>
  <c r="F341" i="25"/>
  <c r="I339" i="25"/>
  <c r="E342" i="25"/>
  <c r="M342" i="25"/>
  <c r="J330" i="25"/>
  <c r="L329" i="25"/>
  <c r="F342" i="25"/>
  <c r="I340" i="25"/>
  <c r="J331" i="25"/>
  <c r="L330" i="25"/>
  <c r="E343" i="25"/>
  <c r="M343" i="25"/>
  <c r="E344" i="25"/>
  <c r="M344" i="25"/>
  <c r="F343" i="25"/>
  <c r="I341" i="25"/>
  <c r="J332" i="25"/>
  <c r="L331" i="25"/>
  <c r="J333" i="25"/>
  <c r="L332" i="25"/>
  <c r="F344" i="25"/>
  <c r="I342" i="25"/>
  <c r="E345" i="25"/>
  <c r="M345" i="25"/>
  <c r="F345" i="25"/>
  <c r="I343" i="25"/>
  <c r="E346" i="25"/>
  <c r="M346" i="25"/>
  <c r="J334" i="25"/>
  <c r="L333" i="25"/>
  <c r="J335" i="25"/>
  <c r="L334" i="25"/>
  <c r="F346" i="25"/>
  <c r="I344" i="25"/>
  <c r="E347" i="25"/>
  <c r="M347" i="25"/>
  <c r="E348" i="25"/>
  <c r="M348" i="25"/>
  <c r="F347" i="25"/>
  <c r="I345" i="25"/>
  <c r="J336" i="25"/>
  <c r="L335" i="25"/>
  <c r="J337" i="25"/>
  <c r="L336" i="25"/>
  <c r="E349" i="25"/>
  <c r="M349" i="25"/>
  <c r="F348" i="25"/>
  <c r="I346" i="25"/>
  <c r="E350" i="25"/>
  <c r="M350" i="25"/>
  <c r="F349" i="25"/>
  <c r="I347" i="25"/>
  <c r="J338" i="25"/>
  <c r="L337" i="25"/>
  <c r="F350" i="25"/>
  <c r="I348" i="25"/>
  <c r="J339" i="25"/>
  <c r="L339" i="25"/>
  <c r="L338" i="25"/>
  <c r="E351" i="25"/>
  <c r="M351" i="25"/>
  <c r="F351" i="25"/>
  <c r="I349" i="25"/>
  <c r="E352" i="25"/>
  <c r="J340" i="25"/>
  <c r="M352" i="25"/>
  <c r="G352" i="25"/>
  <c r="E353" i="25"/>
  <c r="M353" i="25"/>
  <c r="AG40" i="22"/>
  <c r="J341" i="25"/>
  <c r="L340" i="25"/>
  <c r="F352" i="25"/>
  <c r="I350" i="25"/>
  <c r="AH39" i="22"/>
  <c r="G353" i="25"/>
  <c r="G354" i="25"/>
  <c r="G355" i="25"/>
  <c r="G356" i="25"/>
  <c r="G357" i="25"/>
  <c r="G358" i="25"/>
  <c r="G359" i="25"/>
  <c r="G360" i="25"/>
  <c r="G361" i="25"/>
  <c r="G362" i="25"/>
  <c r="G363" i="25"/>
  <c r="E354" i="25"/>
  <c r="M354" i="25"/>
  <c r="J342" i="25"/>
  <c r="L341" i="25"/>
  <c r="AG43" i="22"/>
  <c r="AG54" i="22"/>
  <c r="AG51" i="22"/>
  <c r="F353" i="25"/>
  <c r="I351" i="25"/>
  <c r="J343" i="25"/>
  <c r="L342" i="25"/>
  <c r="F354" i="25"/>
  <c r="I352" i="25"/>
  <c r="E355" i="25"/>
  <c r="M355" i="25"/>
  <c r="F355" i="25"/>
  <c r="I353" i="25"/>
  <c r="E356" i="25"/>
  <c r="M356" i="25"/>
  <c r="J344" i="25"/>
  <c r="L343" i="25"/>
  <c r="J345" i="25"/>
  <c r="L344" i="25"/>
  <c r="E357" i="25"/>
  <c r="M357" i="25"/>
  <c r="F356" i="25"/>
  <c r="I354" i="25"/>
  <c r="E358" i="25"/>
  <c r="M358" i="25"/>
  <c r="F357" i="25"/>
  <c r="I355" i="25"/>
  <c r="J346" i="25"/>
  <c r="L345" i="25"/>
  <c r="J347" i="25"/>
  <c r="L346" i="25"/>
  <c r="F358" i="25"/>
  <c r="I356" i="25"/>
  <c r="E359" i="25"/>
  <c r="M359" i="25"/>
  <c r="F359" i="25"/>
  <c r="I357" i="25"/>
  <c r="E360" i="25"/>
  <c r="M360" i="25"/>
  <c r="J348" i="25"/>
  <c r="L347" i="25"/>
  <c r="J349" i="25"/>
  <c r="L348" i="25"/>
  <c r="F360" i="25"/>
  <c r="I358" i="25"/>
  <c r="E361" i="25"/>
  <c r="M361" i="25"/>
  <c r="F361" i="25"/>
  <c r="I359" i="25"/>
  <c r="E362" i="25"/>
  <c r="M362" i="25"/>
  <c r="J350" i="25"/>
  <c r="L349" i="25"/>
  <c r="J351" i="25"/>
  <c r="L351" i="25"/>
  <c r="L350" i="25"/>
  <c r="E363" i="25"/>
  <c r="M363" i="25"/>
  <c r="F362" i="25"/>
  <c r="I360" i="25"/>
  <c r="F363" i="25"/>
  <c r="I361" i="25"/>
  <c r="E364" i="25"/>
  <c r="M364" i="25"/>
  <c r="J352" i="25"/>
  <c r="G364" i="25"/>
  <c r="E365" i="25"/>
  <c r="M365" i="25"/>
  <c r="AH40" i="22"/>
  <c r="J353" i="25"/>
  <c r="L352" i="25"/>
  <c r="F364" i="25"/>
  <c r="I362" i="25"/>
  <c r="AI39" i="22"/>
  <c r="G365" i="25"/>
  <c r="G366" i="25"/>
  <c r="G367" i="25"/>
  <c r="G368" i="25"/>
  <c r="G369" i="25"/>
  <c r="G370" i="25"/>
  <c r="G371" i="25"/>
  <c r="G372" i="25"/>
  <c r="G373" i="25"/>
  <c r="G374" i="25"/>
  <c r="G375" i="25"/>
  <c r="G436" i="25"/>
  <c r="J354" i="25"/>
  <c r="L353" i="25"/>
  <c r="AH43" i="22"/>
  <c r="AH54" i="22"/>
  <c r="AH51" i="22"/>
  <c r="E366" i="25"/>
  <c r="M366" i="25"/>
  <c r="F365" i="25"/>
  <c r="I363" i="25"/>
  <c r="F366" i="25"/>
  <c r="I364" i="25"/>
  <c r="J355" i="25"/>
  <c r="L354" i="25"/>
  <c r="E367" i="25"/>
  <c r="M367" i="25"/>
  <c r="F367" i="25"/>
  <c r="I365" i="25"/>
  <c r="J356" i="25"/>
  <c r="L355" i="25"/>
  <c r="E368" i="25"/>
  <c r="M368" i="25"/>
  <c r="E369" i="25"/>
  <c r="M369" i="25"/>
  <c r="F368" i="25"/>
  <c r="I366" i="25"/>
  <c r="J357" i="25"/>
  <c r="L356" i="25"/>
  <c r="J358" i="25"/>
  <c r="L357" i="25"/>
  <c r="E370" i="25"/>
  <c r="M370" i="25"/>
  <c r="F369" i="25"/>
  <c r="I367" i="25"/>
  <c r="E371" i="25"/>
  <c r="M371" i="25"/>
  <c r="F370" i="25"/>
  <c r="I368" i="25"/>
  <c r="J359" i="25"/>
  <c r="L358" i="25"/>
  <c r="J360" i="25"/>
  <c r="L359" i="25"/>
  <c r="E372" i="25"/>
  <c r="M372" i="25"/>
  <c r="F371" i="25"/>
  <c r="I369" i="25"/>
  <c r="E373" i="25"/>
  <c r="M373" i="25"/>
  <c r="J361" i="25"/>
  <c r="L360" i="25"/>
  <c r="F372" i="25"/>
  <c r="I370" i="25"/>
  <c r="F373" i="25"/>
  <c r="I371" i="25"/>
  <c r="J362" i="25"/>
  <c r="L361" i="25"/>
  <c r="E374" i="25"/>
  <c r="M374" i="25"/>
  <c r="F374" i="25"/>
  <c r="I372" i="25"/>
  <c r="J363" i="25"/>
  <c r="L363" i="25"/>
  <c r="L362" i="25"/>
  <c r="E375" i="25"/>
  <c r="D375" i="25"/>
  <c r="M375" i="25"/>
  <c r="E436" i="25"/>
  <c r="I417" i="25"/>
  <c r="L417" i="25"/>
  <c r="I373" i="25"/>
  <c r="E376" i="25"/>
  <c r="J364" i="25"/>
  <c r="J376" i="25"/>
  <c r="J377" i="25"/>
  <c r="J378" i="25"/>
  <c r="J379" i="25"/>
  <c r="J380" i="25"/>
  <c r="J381" i="25"/>
  <c r="J382" i="25"/>
  <c r="J383" i="25"/>
  <c r="J384" i="25"/>
  <c r="J385" i="25"/>
  <c r="J386" i="25"/>
  <c r="J387" i="25"/>
  <c r="G376" i="25"/>
  <c r="G377" i="25"/>
  <c r="F375" i="25"/>
  <c r="D436" i="25"/>
  <c r="F436" i="25"/>
  <c r="G378" i="25"/>
  <c r="F376" i="25"/>
  <c r="I374" i="25"/>
  <c r="AI40" i="22"/>
  <c r="J365" i="25"/>
  <c r="L364" i="25"/>
  <c r="I375" i="25"/>
  <c r="I436" i="25"/>
  <c r="J366" i="25"/>
  <c r="L365" i="25"/>
  <c r="AI51" i="22"/>
  <c r="AI43" i="22"/>
  <c r="AI54" i="22"/>
  <c r="I376" i="25"/>
  <c r="L376" i="25"/>
  <c r="G379" i="25"/>
  <c r="I377" i="25"/>
  <c r="L377" i="25"/>
  <c r="G380" i="25"/>
  <c r="J367" i="25"/>
  <c r="L366" i="25"/>
  <c r="J368" i="25"/>
  <c r="L367" i="25"/>
  <c r="G381" i="25"/>
  <c r="I378" i="25"/>
  <c r="L378" i="25"/>
  <c r="I379" i="25"/>
  <c r="L379" i="25"/>
  <c r="G382" i="25"/>
  <c r="J369" i="25"/>
  <c r="L368" i="25"/>
  <c r="J370" i="25"/>
  <c r="L369" i="25"/>
  <c r="I380" i="25"/>
  <c r="L380" i="25"/>
  <c r="G383" i="25"/>
  <c r="I381" i="25"/>
  <c r="L381" i="25"/>
  <c r="G384" i="25"/>
  <c r="J371" i="25"/>
  <c r="L370" i="25"/>
  <c r="J372" i="25"/>
  <c r="L371" i="25"/>
  <c r="I382" i="25"/>
  <c r="L382" i="25"/>
  <c r="G385" i="25"/>
  <c r="G386" i="25"/>
  <c r="I383" i="25"/>
  <c r="L383" i="25"/>
  <c r="J373" i="25"/>
  <c r="L372" i="25"/>
  <c r="J374" i="25"/>
  <c r="L373" i="25"/>
  <c r="L386" i="25"/>
  <c r="I384" i="25"/>
  <c r="L384" i="25"/>
  <c r="G387" i="25"/>
  <c r="L387" i="25"/>
  <c r="I385" i="25"/>
  <c r="L385" i="25"/>
  <c r="J375" i="25"/>
  <c r="L374" i="25"/>
  <c r="J436" i="25"/>
  <c r="L375" i="25"/>
  <c r="L436" i="25"/>
  <c r="C8" i="6"/>
  <c r="C9" i="6"/>
  <c r="E42" i="6"/>
  <c r="D61" i="5"/>
  <c r="D62" i="5"/>
  <c r="D63" i="5"/>
  <c r="D7" i="2"/>
  <c r="C14" i="2"/>
  <c r="E9" i="2"/>
  <c r="C16" i="2"/>
  <c r="E16" i="2"/>
  <c r="D70" i="5"/>
  <c r="J70" i="5"/>
  <c r="C35" i="6"/>
  <c r="E35" i="6"/>
  <c r="E43" i="6"/>
  <c r="E44" i="6"/>
  <c r="D8" i="6"/>
  <c r="E12" i="2"/>
  <c r="G35" i="6"/>
  <c r="D45" i="5"/>
  <c r="E8" i="2"/>
  <c r="D14" i="2"/>
  <c r="E7" i="2"/>
  <c r="E13" i="2"/>
  <c r="E6" i="2"/>
  <c r="E11" i="2"/>
  <c r="E10" i="2"/>
  <c r="D7" i="6"/>
  <c r="E14" i="2"/>
  <c r="D48" i="5"/>
  <c r="D49" i="5"/>
  <c r="D52" i="5"/>
  <c r="J52" i="5"/>
  <c r="D41" i="5"/>
  <c r="D72" i="5"/>
  <c r="D78" i="5"/>
  <c r="E74" i="5"/>
  <c r="C30" i="2"/>
  <c r="J72" i="5"/>
  <c r="C33" i="2"/>
  <c r="D30" i="2"/>
  <c r="E31" i="2"/>
  <c r="E32" i="2"/>
  <c r="C26" i="2"/>
  <c r="G56" i="4"/>
  <c r="E28" i="2"/>
  <c r="D33" i="2"/>
  <c r="E29" i="2"/>
  <c r="C15" i="2"/>
  <c r="G58" i="4"/>
  <c r="E30" i="2"/>
  <c r="E33" i="2"/>
</calcChain>
</file>

<file path=xl/sharedStrings.xml><?xml version="1.0" encoding="utf-8"?>
<sst xmlns="http://schemas.openxmlformats.org/spreadsheetml/2006/main" count="622" uniqueCount="421">
  <si>
    <t># of Units</t>
  </si>
  <si>
    <t>Total</t>
  </si>
  <si>
    <t># of Spaces</t>
  </si>
  <si>
    <t>Monthly Rent</t>
  </si>
  <si>
    <t>Annual Income</t>
  </si>
  <si>
    <t>Total s.f.</t>
  </si>
  <si>
    <t># units</t>
  </si>
  <si>
    <t>Laundry</t>
  </si>
  <si>
    <t>SOURCES AND USES</t>
  </si>
  <si>
    <t>Net Residential Income</t>
  </si>
  <si>
    <t>Term</t>
  </si>
  <si>
    <t>/du</t>
  </si>
  <si>
    <t>Subtotal</t>
  </si>
  <si>
    <t>Insurance</t>
  </si>
  <si>
    <t>Utilities</t>
  </si>
  <si>
    <t>Marketing</t>
  </si>
  <si>
    <t>Studio</t>
  </si>
  <si>
    <t># of Rms/ DU</t>
  </si>
  <si>
    <t>Units</t>
  </si>
  <si>
    <t>Rooms</t>
  </si>
  <si>
    <t>Contingency</t>
  </si>
  <si>
    <t>Super's Unit</t>
  </si>
  <si>
    <t>Permanent Sources</t>
  </si>
  <si>
    <t>Construction Sources</t>
  </si>
  <si>
    <t>Soft Cost Contingency</t>
  </si>
  <si>
    <t>Commercial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</si>
  <si>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</si>
  <si>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</si>
  <si>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</si>
  <si>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</si>
  <si>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</si>
  <si>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</si>
  <si>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</si>
  <si>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</si>
  <si>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</si>
  <si>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</si>
  <si>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Total Bond Amount</t>
  </si>
  <si>
    <t>General Conditions</t>
  </si>
  <si>
    <t>Parking</t>
  </si>
  <si>
    <t>psf</t>
  </si>
  <si>
    <t xml:space="preserve"> </t>
  </si>
  <si>
    <t>Year 11</t>
  </si>
  <si>
    <t>Year 12</t>
  </si>
  <si>
    <t>% of total</t>
  </si>
  <si>
    <t># Rooms</t>
  </si>
  <si>
    <t>Total Commercial &amp; Ancillary  Income</t>
  </si>
  <si>
    <t>Residential Income</t>
  </si>
  <si>
    <t>DEVELOPMENT BUDGET</t>
  </si>
  <si>
    <t>MAINTENANCE &amp; OPERATING EXPENSES</t>
  </si>
  <si>
    <t>% of bond</t>
  </si>
  <si>
    <t>Bond Amount</t>
  </si>
  <si>
    <t>Months</t>
  </si>
  <si>
    <t>Years</t>
  </si>
  <si>
    <t>Construction term</t>
  </si>
  <si>
    <t xml:space="preserve">Rent-up &amp; conversion term </t>
  </si>
  <si>
    <t>Total term</t>
  </si>
  <si>
    <t>Amount</t>
  </si>
  <si>
    <t>Interest Rate</t>
  </si>
  <si>
    <t>Interest</t>
  </si>
  <si>
    <t>Net Comm &amp; Ancillary Income</t>
  </si>
  <si>
    <t>Income</t>
  </si>
  <si>
    <t>Construction Monitor</t>
  </si>
  <si>
    <t>Environmental Phase I &amp; II</t>
  </si>
  <si>
    <t>Capitalized Operating Reserve</t>
  </si>
  <si>
    <t>Geotechnical</t>
  </si>
  <si>
    <t>Uses</t>
  </si>
  <si>
    <t>CONSTRUCTION INTEREST</t>
  </si>
  <si>
    <t>Days Interest</t>
  </si>
  <si>
    <t>LC Amount</t>
  </si>
  <si>
    <t>COMMERICAL AND ANCILLARY INCOME</t>
  </si>
  <si>
    <t>Units:</t>
  </si>
  <si>
    <t xml:space="preserve"> Long Term</t>
  </si>
  <si>
    <t>Short Term</t>
  </si>
  <si>
    <t>Accounting &amp; Cost Certification</t>
  </si>
  <si>
    <t>Overhead</t>
  </si>
  <si>
    <t>Soft Costs</t>
  </si>
  <si>
    <t>Developer Costs</t>
  </si>
  <si>
    <t>Annual Rent</t>
  </si>
  <si>
    <t>Unit size</t>
  </si>
  <si>
    <t>1 Bedroom</t>
  </si>
  <si>
    <t>2 Bedroom</t>
  </si>
  <si>
    <t>3 Bedroom</t>
  </si>
  <si>
    <t xml:space="preserve">Applicants should provide separate pro formas for each component of a project that will be separately financed. </t>
  </si>
  <si>
    <t>Residential GSF</t>
  </si>
  <si>
    <t>Commercial GSF</t>
  </si>
  <si>
    <t>Community GSF</t>
  </si>
  <si>
    <t>Parking GSF</t>
  </si>
  <si>
    <t>Efficiency</t>
  </si>
  <si>
    <t>NSF</t>
  </si>
  <si>
    <t>GSF</t>
  </si>
  <si>
    <t>Total Project GSF</t>
  </si>
  <si>
    <t>Year 13</t>
  </si>
  <si>
    <t>Year 14</t>
  </si>
  <si>
    <t>Year 15</t>
  </si>
  <si>
    <t>Potential Gross Income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</si>
  <si>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</si>
  <si>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</si>
  <si>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</si>
  <si>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</si>
  <si>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</si>
  <si>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</si>
  <si>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</si>
  <si>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</si>
  <si>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</si>
  <si>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</si>
  <si>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</si>
  <si>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</si>
  <si>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</si>
  <si>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</si>
  <si>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</si>
  <si>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GAP</t>
  </si>
  <si>
    <t>HFA</t>
  </si>
  <si>
    <t>SONYMA Application Fee</t>
  </si>
  <si>
    <t>HFA Application Fee</t>
  </si>
  <si>
    <t>LIHTC Rents</t>
  </si>
  <si>
    <t>Multiplier</t>
  </si>
  <si>
    <t>Appraisal</t>
  </si>
  <si>
    <t>Expenses/ Unit</t>
  </si>
  <si>
    <t>Fixed Expenses</t>
  </si>
  <si>
    <t>Real Estate Taxes</t>
  </si>
  <si>
    <t>per total project</t>
  </si>
  <si>
    <t xml:space="preserve">Administrative  </t>
  </si>
  <si>
    <t>percent of EGI</t>
  </si>
  <si>
    <t>Repairs and Maintenance</t>
  </si>
  <si>
    <t>Total Operating Expenses</t>
  </si>
  <si>
    <t>Reserves</t>
  </si>
  <si>
    <t>Replacement Reserves</t>
  </si>
  <si>
    <t>Total Operating Expenses and Reserves</t>
  </si>
  <si>
    <t>Vacancy Allowance</t>
  </si>
  <si>
    <t>Effective Gross Income</t>
  </si>
  <si>
    <t>First Mortgage Debt Service</t>
  </si>
  <si>
    <t>Deferred Developer Fee</t>
  </si>
  <si>
    <t>SONYMA Income to Expense Ratio (Min. 1.05)</t>
  </si>
  <si>
    <t>Debt Coverage Ratio</t>
  </si>
  <si>
    <t>SONYMA</t>
  </si>
  <si>
    <t>Inflation %</t>
  </si>
  <si>
    <t>Maintenance &amp; Operating Expenses</t>
  </si>
  <si>
    <t>Please add/modify categories as needed:</t>
  </si>
  <si>
    <t>Total LIHTC units</t>
  </si>
  <si>
    <t>Water/Sewer</t>
  </si>
  <si>
    <t>NET OPERATING INCOME (NOI)</t>
  </si>
  <si>
    <t>Effective Gross Income (EGI)</t>
  </si>
  <si>
    <t>Identify:</t>
  </si>
  <si>
    <t>PERMANENT LOAN SIZING</t>
  </si>
  <si>
    <t>Permanent Credit Enhancer:</t>
  </si>
  <si>
    <t>Interest Rate:</t>
  </si>
  <si>
    <t>Fixed</t>
  </si>
  <si>
    <t>Tax-Exempt</t>
  </si>
  <si>
    <t>Sum (All-In Rate):</t>
  </si>
  <si>
    <t>Loan:</t>
  </si>
  <si>
    <t>Self-Amortizing</t>
  </si>
  <si>
    <t>Land</t>
  </si>
  <si>
    <t>Acquisition Costs</t>
  </si>
  <si>
    <t>Contingent Hard Costs</t>
  </si>
  <si>
    <t>Contractor Profit</t>
  </si>
  <si>
    <t>Bond Premium</t>
  </si>
  <si>
    <t>HFA Standards:</t>
  </si>
  <si>
    <t>Architect / Engineer</t>
  </si>
  <si>
    <t>Title &amp; Recording</t>
  </si>
  <si>
    <t>Market Study</t>
  </si>
  <si>
    <t>Permits / Fees</t>
  </si>
  <si>
    <t>Construction Lender Fees &amp; Interest</t>
  </si>
  <si>
    <t>Construction Interest: Bonds</t>
  </si>
  <si>
    <t>Plan &amp; Cost Review</t>
  </si>
  <si>
    <t>Lender LC Origination Fee</t>
  </si>
  <si>
    <t>Lender LC Annual Fee</t>
  </si>
  <si>
    <t>Letter of Credit Amount</t>
  </si>
  <si>
    <t>Letter of Credit Fees</t>
  </si>
  <si>
    <t>Letter of Credit Terms</t>
  </si>
  <si>
    <t>Earliest</t>
  </si>
  <si>
    <t>Origination Fee (%)</t>
  </si>
  <si>
    <t>Annual Fee (%)</t>
  </si>
  <si>
    <t>Loan Amount</t>
  </si>
  <si>
    <t>Long Term Bond Amount</t>
  </si>
  <si>
    <t>Short Term Bond Amount</t>
  </si>
  <si>
    <t>term (yrs):</t>
  </si>
  <si>
    <t>SONYMA 1 Month Principal &amp; Interest</t>
  </si>
  <si>
    <t>HFA Bond Issuance &amp; Closing Fees</t>
  </si>
  <si>
    <t>HFA Mortgage Origination Fee*</t>
  </si>
  <si>
    <t>Bond Underwriter Fee**</t>
  </si>
  <si>
    <t>Financial Advisor Fee</t>
  </si>
  <si>
    <t>SONYMA MIP (Annual Fee)</t>
  </si>
  <si>
    <t>Total Acquisition Costs:</t>
  </si>
  <si>
    <t>Total Hard Costs:</t>
  </si>
  <si>
    <t>Total Soft Costs:</t>
  </si>
  <si>
    <t>Legal Fees and Syndication Costs</t>
  </si>
  <si>
    <t>Borrower Legal</t>
  </si>
  <si>
    <t>Tax Credit Certification</t>
  </si>
  <si>
    <t>1BR</t>
  </si>
  <si>
    <t>2BR</t>
  </si>
  <si>
    <t>3BR</t>
  </si>
  <si>
    <t>4BR</t>
  </si>
  <si>
    <t>4 Bedroom</t>
  </si>
  <si>
    <t>Number of Units</t>
  </si>
  <si>
    <t>Utility Allowance</t>
  </si>
  <si>
    <t>Max Net Monthly Rent</t>
  </si>
  <si>
    <t>Month</t>
  </si>
  <si>
    <t>Base Underwriting Rate:</t>
  </si>
  <si>
    <t>Servicing Fee:</t>
  </si>
  <si>
    <t>Max. Loan based on I-E:</t>
  </si>
  <si>
    <t>SONYMA minimum is 1.05</t>
  </si>
  <si>
    <t>Effective Gross Income (EGI):</t>
  </si>
  <si>
    <t>Income to Expense (I-E) Ratio:</t>
  </si>
  <si>
    <t>Total Expenses:</t>
  </si>
  <si>
    <t>Avail. debt service (NOI):</t>
  </si>
  <si>
    <t>Avai. Debt service (I-E):</t>
  </si>
  <si>
    <t>Term:</t>
  </si>
  <si>
    <t>Total Annual Rental Income</t>
  </si>
  <si>
    <t>RESIDENTIAL INCOME UPON OCCUPANCY</t>
  </si>
  <si>
    <t>Total Potential Gross Income:</t>
  </si>
  <si>
    <t>Total Vacancy Allowance:</t>
  </si>
  <si>
    <t>Effective Gross Income:</t>
  </si>
  <si>
    <t>years</t>
  </si>
  <si>
    <t>HCR Subsidy Debt Service</t>
  </si>
  <si>
    <t>Construction Interest Rate</t>
  </si>
  <si>
    <t>Permanent Interest Rate</t>
  </si>
  <si>
    <t>Mortgage Type</t>
  </si>
  <si>
    <t>HFA First Mortgage</t>
  </si>
  <si>
    <t>HFA Construction Loan</t>
  </si>
  <si>
    <t>HFA First Mortgage Amount:</t>
  </si>
  <si>
    <t>Reserves and Escrows</t>
  </si>
  <si>
    <t>Hard Construction Costs</t>
  </si>
  <si>
    <t>Developer Fee</t>
  </si>
  <si>
    <t>Per Unit</t>
  </si>
  <si>
    <t>Accrued Interest Period (if applicable)</t>
  </si>
  <si>
    <t>HFA standard is 0.5%</t>
  </si>
  <si>
    <t>SUBSIDY LOAN 1</t>
  </si>
  <si>
    <t>SUBSIDY LOAN 2</t>
  </si>
  <si>
    <t>Total Operating Expenses:</t>
  </si>
  <si>
    <t>Total Expenses &amp; Reserves:</t>
  </si>
  <si>
    <t>Net Operating Income:</t>
  </si>
  <si>
    <t>Total First Mortgage Debt Service:</t>
  </si>
  <si>
    <t>Period</t>
  </si>
  <si>
    <t>Principal</t>
  </si>
  <si>
    <t>Total Mortgage Payment</t>
  </si>
  <si>
    <t>SONYMA Ongoing Fee</t>
  </si>
  <si>
    <t>Mortgage Balance</t>
  </si>
  <si>
    <t>Subsidy Loan 1</t>
  </si>
  <si>
    <t>Subsidy Loan 2</t>
  </si>
  <si>
    <t>Base Rate</t>
  </si>
  <si>
    <t>*Do not include SONYMA Servicing Fee (0.50%) in construction interest calculation on Short Term Bond.</t>
  </si>
  <si>
    <t>Construction Loan (Short Term Bonds) Interest Rate Calculation*</t>
  </si>
  <si>
    <t>**Do not include SONYMA Servicing Fee (0.50%) in construction interest calculation on Long Term Bond.</t>
  </si>
  <si>
    <t>Anticipated***</t>
  </si>
  <si>
    <t>Maximum****</t>
  </si>
  <si>
    <t>***Should coincide with Total Term</t>
  </si>
  <si>
    <t>****Should equal Total Term plus Extension(s)</t>
  </si>
  <si>
    <t>Monthly Interest</t>
  </si>
  <si>
    <t>Fixed Rates during Construction</t>
  </si>
  <si>
    <t>Credit Enhancement</t>
  </si>
  <si>
    <t>Servicing Fee</t>
  </si>
  <si>
    <t>Amortization Period (Years)</t>
  </si>
  <si>
    <t>Spread/Cushion</t>
  </si>
  <si>
    <t>Total Rate</t>
  </si>
  <si>
    <t>Permanent Rate Stack:</t>
  </si>
  <si>
    <t>Loan Terms:</t>
  </si>
  <si>
    <t>Loan Commencement Date</t>
  </si>
  <si>
    <t>Loan Maturity Date</t>
  </si>
  <si>
    <t>Loan Term (Years)</t>
  </si>
  <si>
    <t>Total Debt Service Payment</t>
  </si>
  <si>
    <t>HFA Servicing  Fee</t>
  </si>
  <si>
    <t>SONYMA Servicing Fee</t>
  </si>
  <si>
    <t>HCR Subsidy Loan1 Amount</t>
  </si>
  <si>
    <t>HCR Subsidy Loan2 Amount</t>
  </si>
  <si>
    <t>HCR Subsidy Loan1</t>
  </si>
  <si>
    <t>PERMANENT LOAN AMORTIZATION SCHEDULE</t>
  </si>
  <si>
    <t>(% of total income)</t>
  </si>
  <si>
    <t>TOTAL ANNUAL PROJECT INCOME:</t>
  </si>
  <si>
    <t>HFA/SONYMA Std:</t>
  </si>
  <si>
    <t>Interest Only</t>
  </si>
  <si>
    <t>HFA Bond as % of Aggregate Basis:</t>
  </si>
  <si>
    <t>Total HFA Bond:</t>
  </si>
  <si>
    <t>Applicable Fraction:</t>
  </si>
  <si>
    <t>Applicable Fraction</t>
  </si>
  <si>
    <t>Total Revenue units</t>
  </si>
  <si>
    <t>Avg. NSF/ DU</t>
  </si>
  <si>
    <t>Expenses/ Room</t>
  </si>
  <si>
    <t>Less Vacancies</t>
  </si>
  <si>
    <t>Potential Gross Income (PGI)</t>
  </si>
  <si>
    <t>Total Expenses &amp; Reserves</t>
  </si>
  <si>
    <t>Revenue Analysis</t>
  </si>
  <si>
    <t>Less Utility Allowances</t>
  </si>
  <si>
    <t>INCOME</t>
  </si>
  <si>
    <t>Rent Roll May 2017</t>
  </si>
  <si>
    <t>Rent Roll June 2017</t>
  </si>
  <si>
    <t>Rent Roll July 2017</t>
  </si>
  <si>
    <t>Month Two</t>
  </si>
  <si>
    <t>Month Three</t>
  </si>
  <si>
    <t>INITIAL UNDERWRITING</t>
  </si>
  <si>
    <t>RENTAL INCOME</t>
  </si>
  <si>
    <t xml:space="preserve">  </t>
  </si>
  <si>
    <t xml:space="preserve">LAUNDRY </t>
  </si>
  <si>
    <t>OCCUPANCY</t>
  </si>
  <si>
    <t>RENTED</t>
  </si>
  <si>
    <t>VACANT</t>
  </si>
  <si>
    <t>TOTAL</t>
  </si>
  <si>
    <t>VACANCY RATE</t>
  </si>
  <si>
    <t>Net Monthly</t>
  </si>
  <si>
    <t>Net Annual</t>
  </si>
  <si>
    <t xml:space="preserve">One - 2 Bedroom LIHTC Unit </t>
  </si>
  <si>
    <t>1 Bedroom Section 8 rent</t>
  </si>
  <si>
    <t>2 Bedroom Section 8 rent</t>
  </si>
  <si>
    <t>For HFA Loan Servicing use only:</t>
  </si>
  <si>
    <t>Permanent Closing</t>
  </si>
  <si>
    <t>Adjustment for HFA Fee Annual Constant:</t>
  </si>
  <si>
    <t>Annual Hard Interest Payment</t>
  </si>
  <si>
    <t>SONYMA-MIF</t>
  </si>
  <si>
    <t>Amount (%) Advanced During Construction</t>
  </si>
  <si>
    <t>HCR Subsidy Loan2</t>
  </si>
  <si>
    <t>HCR Subsidy Loan3</t>
  </si>
  <si>
    <t>HCR Subsidy Loan4</t>
  </si>
  <si>
    <t>SUBSIDY LOAN 3</t>
  </si>
  <si>
    <t>SUBSIDY LOAN 4</t>
  </si>
  <si>
    <t>Lot SF:</t>
  </si>
  <si>
    <t>IRP</t>
  </si>
  <si>
    <t>IRP Servicing  Fee*</t>
  </si>
  <si>
    <t xml:space="preserve">SONYMA Upfront Fee </t>
  </si>
  <si>
    <t>*For IRP Servicing, make sure to reflect the correct end date of the IRP loan stream</t>
  </si>
  <si>
    <t>Construction Gap Check:</t>
  </si>
  <si>
    <t>Permanent Gap Check:</t>
  </si>
  <si>
    <t>Construction Interest: Subsidy Loan NCP</t>
  </si>
  <si>
    <t>Construction Interest: Subsidy Loan MIHP</t>
  </si>
  <si>
    <t>SF DISTRIBUTION</t>
  </si>
  <si>
    <t>UNIT DISTRIBUTION</t>
  </si>
  <si>
    <t>Community Facility</t>
  </si>
  <si>
    <t>Annual Rent / Per SF</t>
  </si>
  <si>
    <t>Annual per unit</t>
  </si>
  <si>
    <t>Total Construction Sources</t>
  </si>
  <si>
    <t>Total Permanent Sources</t>
  </si>
  <si>
    <t>Total Uses</t>
  </si>
  <si>
    <t>per unit</t>
  </si>
  <si>
    <t>Borrower Projected Expenses</t>
  </si>
  <si>
    <t>Supplies/Cleaning/Exterminating</t>
  </si>
  <si>
    <t>per room</t>
  </si>
  <si>
    <t>Heating</t>
  </si>
  <si>
    <t>Superintendent &amp; Maintenance Staff Salaries</t>
  </si>
  <si>
    <t>Salaries</t>
  </si>
  <si>
    <t>per elevator</t>
  </si>
  <si>
    <t>Fire &amp; Liability Insurance</t>
  </si>
  <si>
    <t xml:space="preserve">Total  </t>
  </si>
  <si>
    <t xml:space="preserve">Total </t>
  </si>
  <si>
    <t xml:space="preserve"> Management Fee </t>
  </si>
  <si>
    <t>Total Expenses Net of Management Fee</t>
  </si>
  <si>
    <t>Gas and Electricity</t>
  </si>
  <si>
    <t>Elevator Maintenance and Repairs</t>
  </si>
  <si>
    <t xml:space="preserve">No. </t>
  </si>
  <si>
    <t xml:space="preserve">Super </t>
  </si>
  <si>
    <t xml:space="preserve">Porter </t>
  </si>
  <si>
    <t>Operating Expenses:</t>
  </si>
  <si>
    <t>UNITS &amp; INCOME</t>
  </si>
  <si>
    <t>of tot bond amt</t>
  </si>
  <si>
    <t xml:space="preserve">Total Development Cost: </t>
  </si>
  <si>
    <t>Construction Costs</t>
  </si>
  <si>
    <t>Contractor Price</t>
  </si>
  <si>
    <t>Residential</t>
  </si>
  <si>
    <t>Commercial Space</t>
  </si>
  <si>
    <t>Community Space</t>
  </si>
  <si>
    <t>HFA Standards</t>
  </si>
  <si>
    <t xml:space="preserve">Subtotal </t>
  </si>
  <si>
    <t>Permits and Expediting</t>
  </si>
  <si>
    <t>Borings</t>
  </si>
  <si>
    <t>Survey</t>
  </si>
  <si>
    <t>Eligible Basis with Boost</t>
  </si>
  <si>
    <t xml:space="preserve">Amount Raised Total </t>
  </si>
  <si>
    <t xml:space="preserve">Eligible Basis </t>
  </si>
  <si>
    <t>Annual Credit Rate</t>
  </si>
  <si>
    <t xml:space="preserve">Amount Raised per Credit </t>
  </si>
  <si>
    <t>insrt cred amt</t>
  </si>
  <si>
    <t>Developer's Fee</t>
  </si>
  <si>
    <t>Bank Legal</t>
  </si>
  <si>
    <t>TAX CREDIT ANALYSIS</t>
  </si>
  <si>
    <t>Eligible Cost (Y/N)</t>
  </si>
  <si>
    <t>Eligible Amount</t>
  </si>
  <si>
    <t>Y</t>
  </si>
  <si>
    <t>N</t>
  </si>
  <si>
    <t>--</t>
  </si>
  <si>
    <t>*If new line items are added, formulas calculating tax credit eligibility should be updated from the cell above</t>
  </si>
  <si>
    <t xml:space="preserve">Subsidy Type </t>
  </si>
  <si>
    <t xml:space="preserve">Loan Amount </t>
  </si>
  <si>
    <t>Max 90%</t>
  </si>
  <si>
    <t>Repairs/Replacement</t>
  </si>
  <si>
    <t xml:space="preserve">Legal </t>
  </si>
  <si>
    <t xml:space="preserve">Accounting </t>
  </si>
  <si>
    <t>Debt Service Coverage Ratio (DSCR):</t>
  </si>
  <si>
    <t>Max. Loan based on DSCR:</t>
  </si>
  <si>
    <t>Net Cash Flow</t>
  </si>
  <si>
    <t>Low Income Housing Tax Credits</t>
  </si>
  <si>
    <t>standard</t>
  </si>
  <si>
    <t>NYS Bond Issuance Fee</t>
  </si>
  <si>
    <t>Income Level (AMI)</t>
  </si>
  <si>
    <t xml:space="preserve"> Total </t>
  </si>
  <si>
    <t>Benchmarking</t>
  </si>
  <si>
    <t>HFA Construction Interest Calculation*</t>
  </si>
  <si>
    <t xml:space="preserve">*Please note the HFA Construction Interest assumption is 100% draw on Day 1. </t>
  </si>
  <si>
    <r>
      <t xml:space="preserve">Project Site: </t>
    </r>
    <r>
      <rPr>
        <sz val="11"/>
        <color rgb="FFFF0000"/>
        <rFont val="Arial"/>
        <family val="2"/>
      </rPr>
      <t>Insert Site Name</t>
    </r>
  </si>
  <si>
    <r>
      <t xml:space="preserve">Development Team: </t>
    </r>
    <r>
      <rPr>
        <sz val="11"/>
        <color rgb="FFFF0000"/>
        <rFont val="Arial"/>
        <family val="2"/>
      </rPr>
      <t>Insert Team Name</t>
    </r>
  </si>
  <si>
    <t>SUMMMARY</t>
  </si>
  <si>
    <t>AMI Tier</t>
  </si>
  <si>
    <t xml:space="preserve"># D/Us </t>
  </si>
  <si>
    <t>New Construction Standards</t>
  </si>
  <si>
    <t>1 Staff Member for every 65 units. As permitted by law, additional FT or PT Supers or Porters may satisfy the operational needs of bulidings between each 65 unit threshold.</t>
  </si>
  <si>
    <t>900*</t>
  </si>
  <si>
    <t>MORTGAGE</t>
  </si>
  <si>
    <t>CASH FLOW</t>
  </si>
  <si>
    <t>1)</t>
  </si>
  <si>
    <t>2)</t>
  </si>
  <si>
    <t>Only cells highlighted in blue should be filled out:</t>
  </si>
  <si>
    <t>3)</t>
  </si>
  <si>
    <t>4)</t>
  </si>
  <si>
    <t>Keep cells linked and maintain calculations.  If you modify given assumptions, please clearly note the changes.</t>
  </si>
  <si>
    <t>5)</t>
  </si>
  <si>
    <t>NYS HFA’s Affordable Rental Housing Term Sheet &amp; Financing Guide</t>
  </si>
  <si>
    <t>Follow HFA term sheets for terms and conditions:</t>
  </si>
  <si>
    <t xml:space="preserve">Please complete this model for the rental component of your project. </t>
  </si>
  <si>
    <t>of TDC</t>
  </si>
  <si>
    <t xml:space="preserve">Net Cash Flow in 15 years </t>
  </si>
  <si>
    <t>HFA Subsidy Fee</t>
  </si>
  <si>
    <t>4.85%+.25% servicing</t>
  </si>
  <si>
    <t>Program Descriptions and Term Sheets</t>
  </si>
  <si>
    <t>Ambulatory Care Center</t>
  </si>
  <si>
    <t>Wassaic RFP: Instructions for Completing Underwriting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</si>
</sst>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mm/dd/yy_)"/>
    <numFmt numFmtId="166" formatCode="dd\-mmm\-yy_)"/>
    <numFmt numFmtId="167" formatCode="0.0%"/>
    <numFmt numFmtId="168" formatCode="_(&quot;$&quot;* #,##0_);_(&quot;$&quot;* \(#,##0\);_(&quot;$&quot;* &quot;-&quot;??_);_(@_)"/>
    <numFmt numFmtId="169" formatCode="&quot;$&quot;#,##0"/>
    <numFmt numFmtId="170" formatCode="0.000%"/>
    <numFmt numFmtId="171" formatCode="_(* #,##0_);_(* \(#,##0\);_(* &quot;-&quot;??_);_(@_)"/>
    <numFmt numFmtId="172" formatCode="&quot;$&quot;#,##0.00"/>
    <numFmt numFmtId="173" formatCode="0.00000"/>
    <numFmt numFmtId="174" formatCode="&quot;$&quot;#,##0.0000"/>
    <numFmt numFmtId="175" formatCode="&quot;$&quot;#,##0.0_);\(&quot;$&quot;#,##0.0\)"/>
    <numFmt numFmtId="176" formatCode="_(&quot;$&quot;* #,##0.0_);_(&quot;$&quot;* \(#,##0.0\);_(&quot;$&quot;* &quot;-&quot;?_);_(@_)"/>
  </numFmts>
  <fonts count="77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u/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u/>
      <sz val="12"/>
      <name val="Arial"/>
      <family val="2"/>
    </font>
    <font>
      <i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b/>
      <i/>
      <sz val="12"/>
      <color indexed="8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i/>
      <sz val="10"/>
      <color indexed="8"/>
      <name val="Arial"/>
      <family val="2"/>
    </font>
    <font>
      <sz val="14"/>
      <name val="Helvetica"/>
    </font>
    <font>
      <b/>
      <sz val="14"/>
      <name val="Arial"/>
      <family val="2"/>
    </font>
    <font>
      <b/>
      <sz val="10"/>
      <name val="Helvetica"/>
    </font>
    <font>
      <sz val="12"/>
      <color indexed="12"/>
      <name val="Arial"/>
      <family val="2"/>
    </font>
    <font>
      <sz val="8"/>
      <name val="MS Sans Serif"/>
      <family val="2"/>
    </font>
    <font>
      <sz val="10"/>
      <name val="MS Sans Serif"/>
      <family val="2"/>
    </font>
    <font>
      <sz val="11"/>
      <color rgb="FFFF0000"/>
      <name val="Arial"/>
      <family val="2"/>
    </font>
    <font>
      <sz val="11"/>
      <color indexed="8"/>
      <name val="Arial"/>
      <family val="2"/>
    </font>
    <font>
      <b/>
      <sz val="11"/>
      <name val="Helvetica"/>
    </font>
    <font>
      <sz val="11"/>
      <name val="Helvetica"/>
    </font>
    <font>
      <b/>
      <sz val="11"/>
      <color indexed="8"/>
      <name val="Arial"/>
      <family val="2"/>
    </font>
    <font>
      <sz val="11"/>
      <color indexed="12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SWISS"/>
    </font>
    <font>
      <i/>
      <u/>
      <sz val="12"/>
      <color indexed="8"/>
      <name val="Arial"/>
      <family val="2"/>
    </font>
    <font>
      <u val="singleAccounting"/>
      <sz val="12"/>
      <name val="Arial"/>
      <family val="2"/>
    </font>
    <font>
      <i/>
      <sz val="11"/>
      <color indexed="8"/>
      <name val="Arial"/>
      <family val="2"/>
    </font>
    <font>
      <b/>
      <i/>
      <sz val="10"/>
      <name val="Arial"/>
      <family val="2"/>
    </font>
    <font>
      <sz val="10"/>
      <name val="Futura Md BT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11"/>
      <name val="Helvetica"/>
    </font>
    <font>
      <b/>
      <i/>
      <sz val="11"/>
      <name val="Helvetica"/>
    </font>
    <font>
      <sz val="11"/>
      <color theme="1"/>
      <name val="Times New Roman"/>
      <family val="2"/>
    </font>
    <font>
      <sz val="12"/>
      <name val="Times New Roman"/>
      <family val="2"/>
    </font>
    <font>
      <b/>
      <sz val="12"/>
      <name val="Calibri"/>
      <family val="2"/>
      <scheme val="minor"/>
    </font>
    <font>
      <sz val="10"/>
      <name val="Times New Roman"/>
      <family val="1"/>
    </font>
    <font>
      <i/>
      <u/>
      <sz val="10"/>
      <name val="Arial"/>
      <family val="2"/>
    </font>
    <font>
      <i/>
      <sz val="10"/>
      <color rgb="FFFF0000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i/>
      <sz val="12"/>
      <color rgb="FFFF0000"/>
      <name val="Arial"/>
      <family val="2"/>
    </font>
    <font>
      <b/>
      <sz val="12"/>
      <color indexed="12"/>
      <name val="Arial"/>
      <family val="2"/>
    </font>
    <font>
      <sz val="12"/>
      <color theme="5"/>
      <name val="Arial"/>
      <family val="2"/>
    </font>
    <font>
      <i/>
      <sz val="10"/>
      <color theme="5"/>
      <name val="Arial"/>
      <family val="2"/>
    </font>
    <font>
      <sz val="12"/>
      <color theme="0" tint="-0.34998626667073579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u/>
      <sz val="12"/>
      <color theme="10"/>
      <name val="Arial"/>
      <family val="2"/>
    </font>
    <font>
      <u/>
      <sz val="11"/>
      <color theme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</fills>
  <borders count="10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indexed="12"/>
      </bottom>
      <diagonal/>
    </border>
    <border>
      <left/>
      <right/>
      <top style="hair">
        <color indexed="12"/>
      </top>
      <bottom style="hair">
        <color indexed="12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rgb="FF000080"/>
      </bottom>
      <diagonal/>
    </border>
    <border>
      <left/>
      <right/>
      <top/>
      <bottom style="medium">
        <color rgb="FF000099"/>
      </bottom>
      <diagonal/>
    </border>
    <border>
      <left style="medium">
        <color rgb="FF000099"/>
      </left>
      <right/>
      <top/>
      <bottom style="medium">
        <color rgb="FF00009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medium">
        <color auto="1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/>
      <bottom/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thin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thin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thin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hair">
        <color theme="1"/>
      </right>
      <top/>
      <bottom style="hair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/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medium">
        <color theme="1"/>
      </top>
      <bottom style="thin">
        <color theme="1"/>
      </bottom>
      <diagonal/>
    </border>
    <border>
      <left style="hair">
        <color theme="1"/>
      </left>
      <right style="hair">
        <color theme="1"/>
      </right>
      <top style="medium">
        <color theme="1"/>
      </top>
      <bottom style="thin">
        <color theme="1"/>
      </bottom>
      <diagonal/>
    </border>
    <border>
      <left style="hair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hair">
        <color theme="1"/>
      </top>
      <bottom style="hair">
        <color theme="1"/>
      </bottom>
      <diagonal/>
    </border>
    <border>
      <left/>
      <right style="thin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/>
      <bottom/>
      <diagonal/>
    </border>
    <border>
      <left style="hair">
        <color theme="1"/>
      </left>
      <right style="thin">
        <color theme="1"/>
      </right>
      <top/>
      <bottom style="hair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hair">
        <color theme="1"/>
      </bottom>
      <diagonal/>
    </border>
    <border>
      <left/>
      <right/>
      <top style="thin">
        <color theme="1"/>
      </top>
      <bottom style="hair">
        <color theme="1"/>
      </bottom>
      <diagonal/>
    </border>
    <border>
      <left/>
      <right style="thin">
        <color theme="1"/>
      </right>
      <top style="thin">
        <color theme="1"/>
      </top>
      <bottom style="hair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hair">
        <color theme="1"/>
      </left>
      <right/>
      <top style="hair">
        <color theme="1"/>
      </top>
      <bottom style="thin">
        <color theme="1"/>
      </bottom>
      <diagonal/>
    </border>
    <border>
      <left style="hair">
        <color theme="1"/>
      </left>
      <right style="hair">
        <color auto="1"/>
      </right>
      <top style="hair">
        <color theme="1"/>
      </top>
      <bottom style="hair">
        <color auto="1"/>
      </bottom>
      <diagonal/>
    </border>
    <border>
      <left style="hair">
        <color theme="1"/>
      </left>
      <right style="hair">
        <color auto="1"/>
      </right>
      <top style="hair">
        <color auto="1"/>
      </top>
      <bottom style="hair">
        <color theme="1"/>
      </bottom>
      <diagonal/>
    </border>
    <border>
      <left style="thin">
        <color theme="1"/>
      </left>
      <right style="thin">
        <color indexed="64"/>
      </right>
      <top/>
      <bottom/>
      <diagonal/>
    </border>
    <border>
      <left/>
      <right style="hair">
        <color theme="1"/>
      </right>
      <top style="hair">
        <color theme="1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theme="1"/>
      </left>
      <right style="thin">
        <color indexed="64"/>
      </right>
      <top style="hair">
        <color theme="1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theme="1"/>
      </bottom>
      <diagonal/>
    </border>
    <border>
      <left style="thin">
        <color theme="1"/>
      </left>
      <right/>
      <top style="hair">
        <color indexed="64"/>
      </top>
      <bottom style="hair">
        <color theme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theme="1"/>
      </top>
      <bottom style="double">
        <color theme="1"/>
      </bottom>
      <diagonal/>
    </border>
    <border>
      <left/>
      <right/>
      <top/>
      <bottom style="double">
        <color theme="1"/>
      </bottom>
      <diagonal/>
    </border>
  </borders>
  <cellStyleXfs count="36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0" fontId="1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9" fillId="0" borderId="0"/>
    <xf numFmtId="3" fontId="13" fillId="0" borderId="0" applyNumberFormat="0" applyFill="0" applyBorder="0" applyAlignment="0">
      <alignment horizontal="left"/>
    </xf>
    <xf numFmtId="3" fontId="31" fillId="0" borderId="17" applyNumberFormat="0" applyProtection="0"/>
    <xf numFmtId="3" fontId="32" fillId="0" borderId="0" applyNumberFormat="0" applyProtection="0"/>
    <xf numFmtId="3" fontId="33" fillId="0" borderId="0">
      <alignment horizontal="left"/>
    </xf>
    <xf numFmtId="174" fontId="34" fillId="6" borderId="0" applyNumberFormat="0" applyBorder="0" applyAlignment="0">
      <protection locked="0"/>
    </xf>
    <xf numFmtId="3" fontId="23" fillId="0" borderId="9"/>
    <xf numFmtId="3" fontId="35" fillId="0" borderId="0" applyFont="0" applyFill="0" applyBorder="0" applyAlignment="0" applyProtection="0"/>
    <xf numFmtId="174" fontId="34" fillId="7" borderId="22">
      <alignment horizontal="left" vertical="top" wrapText="1"/>
      <protection locked="0"/>
    </xf>
    <xf numFmtId="174" fontId="34" fillId="8" borderId="23">
      <alignment horizontal="left" vertical="top" wrapText="1"/>
      <protection locked="0"/>
    </xf>
    <xf numFmtId="9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13" fillId="4" borderId="19" applyNumberFormat="0" applyFont="0" applyAlignment="0" applyProtection="0"/>
    <xf numFmtId="3" fontId="33" fillId="0" borderId="27"/>
    <xf numFmtId="0" fontId="50" fillId="0" borderId="20">
      <alignment horizontal="center" wrapText="1"/>
    </xf>
    <xf numFmtId="0" fontId="55" fillId="0" borderId="0"/>
    <xf numFmtId="43" fontId="55" fillId="0" borderId="0" applyFont="0" applyFill="0" applyBorder="0" applyAlignment="0" applyProtection="0"/>
    <xf numFmtId="0" fontId="12" fillId="0" borderId="0">
      <alignment horizontal="centerContinuous"/>
    </xf>
    <xf numFmtId="6" fontId="36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64" fillId="0" borderId="0" applyFont="0" applyFill="0" applyBorder="0" applyAlignment="0" applyProtection="0"/>
    <xf numFmtId="0" fontId="1" fillId="0" borderId="0"/>
    <xf numFmtId="0" fontId="75" fillId="0" borderId="0" applyNumberFormat="0" applyFill="0" applyBorder="0" applyAlignment="0" applyProtection="0"/>
  </cellStyleXfs>
  <cellXfs count="1117">
    <xf numFmtId="0" fontId="0" fillId="0" borderId="0" xfId="0"/>
    <xf numFmtId="0" fontId="16" fillId="0" borderId="0" xfId="0" applyFont="1"/>
    <xf numFmtId="0" fontId="16" fillId="0" borderId="0" xfId="0" applyFont="1" applyBorder="1"/>
    <xf numFmtId="0" fontId="12" fillId="0" borderId="0" xfId="0" applyFont="1" applyBorder="1" applyAlignment="1">
      <alignment horizontal="left"/>
    </xf>
    <xf numFmtId="0" fontId="16" fillId="0" borderId="0" xfId="0" applyFont="1" applyFill="1"/>
    <xf numFmtId="0" fontId="0" fillId="0" borderId="0" xfId="0" applyFill="1" applyBorder="1"/>
    <xf numFmtId="0" fontId="0" fillId="0" borderId="0" xfId="0" applyFill="1"/>
    <xf numFmtId="5" fontId="12" fillId="0" borderId="0" xfId="0" applyNumberFormat="1" applyFont="1" applyBorder="1" applyProtection="1"/>
    <xf numFmtId="3" fontId="13" fillId="0" borderId="0" xfId="11" applyFont="1" applyFill="1" applyAlignment="1" applyProtection="1">
      <alignment horizontal="left" vertical="center"/>
    </xf>
    <xf numFmtId="3" fontId="13" fillId="0" borderId="0" xfId="11" applyFont="1" applyFill="1" applyAlignment="1">
      <alignment horizontal="left" vertical="center"/>
    </xf>
    <xf numFmtId="3" fontId="13" fillId="0" borderId="0" xfId="11" applyFont="1" applyFill="1" applyBorder="1" applyAlignment="1" applyProtection="1">
      <alignment horizontal="left" vertical="center"/>
    </xf>
    <xf numFmtId="3" fontId="13" fillId="0" borderId="0" xfId="11" applyFont="1" applyFill="1" applyBorder="1" applyAlignment="1" applyProtection="1">
      <alignment horizontal="center" vertical="center" wrapText="1"/>
    </xf>
    <xf numFmtId="37" fontId="13" fillId="0" borderId="0" xfId="11" applyNumberFormat="1" applyFont="1" applyFill="1" applyBorder="1" applyAlignment="1">
      <alignment vertical="center"/>
    </xf>
    <xf numFmtId="6" fontId="13" fillId="0" borderId="0" xfId="17" applyNumberFormat="1" applyFont="1" applyFill="1" applyBorder="1" applyAlignment="1">
      <alignment vertical="center"/>
    </xf>
    <xf numFmtId="3" fontId="13" fillId="0" borderId="0" xfId="11" applyFont="1" applyFill="1" applyAlignment="1" applyProtection="1">
      <alignment horizontal="right" vertical="center"/>
    </xf>
    <xf numFmtId="3" fontId="13" fillId="9" borderId="0" xfId="11" applyFont="1" applyFill="1" applyBorder="1" applyAlignment="1" applyProtection="1">
      <alignment horizontal="left" vertical="center"/>
    </xf>
    <xf numFmtId="3" fontId="13" fillId="9" borderId="0" xfId="22" applyNumberFormat="1" applyFont="1" applyFill="1" applyBorder="1" applyAlignment="1" applyProtection="1">
      <alignment horizontal="left" vertical="center"/>
    </xf>
    <xf numFmtId="3" fontId="0" fillId="9" borderId="0" xfId="22" applyNumberFormat="1" applyFont="1" applyFill="1" applyBorder="1" applyAlignment="1" applyProtection="1">
      <alignment horizontal="left" vertical="center"/>
    </xf>
    <xf numFmtId="3" fontId="13" fillId="9" borderId="0" xfId="11" applyFont="1" applyFill="1" applyBorder="1" applyAlignment="1" applyProtection="1">
      <alignment horizontal="right" vertical="center"/>
    </xf>
    <xf numFmtId="3" fontId="13" fillId="9" borderId="0" xfId="11" applyFont="1" applyFill="1" applyBorder="1" applyAlignment="1">
      <alignment horizontal="left" vertical="center"/>
    </xf>
    <xf numFmtId="3" fontId="28" fillId="2" borderId="0" xfId="11" applyFont="1" applyFill="1" applyAlignment="1">
      <alignment horizontal="left" vertical="center"/>
    </xf>
    <xf numFmtId="3" fontId="28" fillId="2" borderId="0" xfId="11" applyFont="1" applyFill="1" applyBorder="1" applyAlignment="1">
      <alignment horizontal="left" vertical="center"/>
    </xf>
    <xf numFmtId="3" fontId="25" fillId="2" borderId="0" xfId="11" applyFont="1" applyFill="1" applyAlignment="1">
      <alignment horizontal="left" vertical="center"/>
    </xf>
    <xf numFmtId="3" fontId="25" fillId="2" borderId="0" xfId="11" applyFont="1" applyFill="1" applyBorder="1" applyAlignment="1">
      <alignment vertical="center"/>
    </xf>
    <xf numFmtId="3" fontId="25" fillId="2" borderId="0" xfId="11" applyFont="1" applyFill="1" applyBorder="1" applyAlignment="1">
      <alignment horizontal="right" vertical="center"/>
    </xf>
    <xf numFmtId="39" fontId="28" fillId="2" borderId="0" xfId="11" applyNumberFormat="1" applyFont="1" applyFill="1" applyBorder="1" applyAlignment="1">
      <alignment horizontal="left" vertical="center"/>
    </xf>
    <xf numFmtId="37" fontId="28" fillId="2" borderId="0" xfId="11" applyNumberFormat="1" applyFont="1" applyFill="1" applyBorder="1" applyAlignment="1">
      <alignment horizontal="left" vertical="center"/>
    </xf>
    <xf numFmtId="37" fontId="28" fillId="2" borderId="13" xfId="11" applyNumberFormat="1" applyFont="1" applyFill="1" applyBorder="1" applyAlignment="1">
      <alignment horizontal="left" vertical="center"/>
    </xf>
    <xf numFmtId="3" fontId="28" fillId="2" borderId="0" xfId="11" applyFont="1" applyFill="1" applyBorder="1" applyAlignment="1" applyProtection="1">
      <alignment horizontal="left" vertical="center"/>
    </xf>
    <xf numFmtId="41" fontId="28" fillId="2" borderId="0" xfId="17" applyNumberFormat="1" applyFont="1" applyFill="1" applyBorder="1" applyAlignment="1" applyProtection="1">
      <alignment horizontal="right" vertical="center"/>
    </xf>
    <xf numFmtId="3" fontId="28" fillId="2" borderId="0" xfId="17" applyFont="1" applyFill="1" applyAlignment="1">
      <alignment horizontal="left" vertical="center"/>
    </xf>
    <xf numFmtId="5" fontId="28" fillId="2" borderId="0" xfId="17" applyNumberFormat="1" applyFont="1" applyFill="1" applyBorder="1" applyAlignment="1" applyProtection="1">
      <alignment horizontal="right" vertical="center"/>
    </xf>
    <xf numFmtId="3" fontId="28" fillId="0" borderId="0" xfId="11" applyFont="1" applyFill="1" applyBorder="1" applyAlignment="1">
      <alignment horizontal="left" vertical="center"/>
    </xf>
    <xf numFmtId="3" fontId="28" fillId="0" borderId="0" xfId="11" applyFont="1" applyFill="1" applyBorder="1" applyAlignment="1" applyProtection="1">
      <alignment horizontal="left" vertical="center"/>
    </xf>
    <xf numFmtId="3" fontId="28" fillId="2" borderId="9" xfId="11" applyFont="1" applyFill="1" applyBorder="1" applyAlignment="1" applyProtection="1">
      <alignment horizontal="left" vertical="center"/>
    </xf>
    <xf numFmtId="41" fontId="38" fillId="2" borderId="9" xfId="17" applyNumberFormat="1" applyFont="1" applyFill="1" applyBorder="1" applyAlignment="1" applyProtection="1">
      <alignment horizontal="right" vertical="center"/>
    </xf>
    <xf numFmtId="41" fontId="38" fillId="2" borderId="24" xfId="17" applyNumberFormat="1" applyFont="1" applyFill="1" applyBorder="1" applyAlignment="1" applyProtection="1">
      <alignment horizontal="right" vertical="center"/>
    </xf>
    <xf numFmtId="41" fontId="38" fillId="2" borderId="0" xfId="17" applyNumberFormat="1" applyFont="1" applyFill="1" applyBorder="1" applyAlignment="1" applyProtection="1">
      <alignment horizontal="right" vertical="center"/>
    </xf>
    <xf numFmtId="10" fontId="38" fillId="2" borderId="0" xfId="20" applyNumberFormat="1" applyFont="1" applyFill="1" applyBorder="1" applyAlignment="1" applyProtection="1">
      <alignment horizontal="right" vertical="center"/>
    </xf>
    <xf numFmtId="41" fontId="38" fillId="2" borderId="13" xfId="17" applyNumberFormat="1" applyFont="1" applyFill="1" applyBorder="1" applyAlignment="1" applyProtection="1">
      <alignment horizontal="right" vertical="center"/>
    </xf>
    <xf numFmtId="41" fontId="28" fillId="2" borderId="0" xfId="17" applyNumberFormat="1" applyFont="1" applyFill="1" applyBorder="1" applyAlignment="1">
      <alignment horizontal="right" vertical="center"/>
    </xf>
    <xf numFmtId="41" fontId="38" fillId="2" borderId="0" xfId="17" applyNumberFormat="1" applyFont="1" applyFill="1" applyBorder="1" applyAlignment="1">
      <alignment horizontal="right" vertical="center"/>
    </xf>
    <xf numFmtId="41" fontId="38" fillId="2" borderId="13" xfId="17" applyNumberFormat="1" applyFont="1" applyFill="1" applyBorder="1" applyAlignment="1">
      <alignment horizontal="right" vertical="center"/>
    </xf>
    <xf numFmtId="41" fontId="28" fillId="2" borderId="13" xfId="17" applyNumberFormat="1" applyFont="1" applyFill="1" applyBorder="1" applyAlignment="1">
      <alignment horizontal="right" vertical="center"/>
    </xf>
    <xf numFmtId="3" fontId="28" fillId="2" borderId="9" xfId="11" applyFont="1" applyFill="1" applyBorder="1" applyAlignment="1">
      <alignment horizontal="left" vertical="center"/>
    </xf>
    <xf numFmtId="41" fontId="38" fillId="0" borderId="9" xfId="17" applyNumberFormat="1" applyFont="1" applyFill="1" applyBorder="1" applyAlignment="1">
      <alignment horizontal="right" vertical="center"/>
    </xf>
    <xf numFmtId="41" fontId="38" fillId="2" borderId="9" xfId="17" applyNumberFormat="1" applyFont="1" applyFill="1" applyBorder="1" applyAlignment="1">
      <alignment horizontal="right" vertical="center"/>
    </xf>
    <xf numFmtId="41" fontId="38" fillId="2" borderId="24" xfId="17" applyNumberFormat="1" applyFont="1" applyFill="1" applyBorder="1" applyAlignment="1">
      <alignment horizontal="right" vertical="center"/>
    </xf>
    <xf numFmtId="41" fontId="38" fillId="0" borderId="0" xfId="17" applyNumberFormat="1" applyFont="1" applyFill="1" applyBorder="1" applyAlignment="1">
      <alignment horizontal="right" vertical="center"/>
    </xf>
    <xf numFmtId="3" fontId="28" fillId="2" borderId="0" xfId="17" applyFont="1" applyFill="1" applyBorder="1" applyAlignment="1">
      <alignment horizontal="left" vertical="center"/>
    </xf>
    <xf numFmtId="41" fontId="28" fillId="0" borderId="0" xfId="17" applyNumberFormat="1" applyFont="1" applyFill="1" applyBorder="1" applyAlignment="1" applyProtection="1">
      <alignment horizontal="right" vertical="center"/>
    </xf>
    <xf numFmtId="5" fontId="28" fillId="0" borderId="0" xfId="17" applyNumberFormat="1" applyFont="1" applyFill="1" applyBorder="1" applyAlignment="1" applyProtection="1">
      <alignment horizontal="right" vertical="center"/>
    </xf>
    <xf numFmtId="3" fontId="40" fillId="0" borderId="9" xfId="11" applyFont="1" applyFill="1" applyBorder="1" applyAlignment="1">
      <alignment vertical="center"/>
    </xf>
    <xf numFmtId="3" fontId="28" fillId="0" borderId="0" xfId="17" applyFont="1" applyFill="1" applyAlignment="1">
      <alignment horizontal="left" vertical="center"/>
    </xf>
    <xf numFmtId="3" fontId="25" fillId="2" borderId="9" xfId="11" applyFont="1" applyFill="1" applyBorder="1" applyAlignment="1">
      <alignment horizontal="left" vertical="center"/>
    </xf>
    <xf numFmtId="41" fontId="25" fillId="0" borderId="9" xfId="17" applyNumberFormat="1" applyFont="1" applyFill="1" applyBorder="1" applyAlignment="1" applyProtection="1">
      <alignment horizontal="right" vertical="center"/>
    </xf>
    <xf numFmtId="3" fontId="25" fillId="2" borderId="0" xfId="17" applyFont="1" applyFill="1" applyAlignment="1">
      <alignment horizontal="left" vertical="center"/>
    </xf>
    <xf numFmtId="3" fontId="40" fillId="2" borderId="0" xfId="11" applyFont="1" applyFill="1" applyBorder="1" applyAlignment="1">
      <alignment vertical="center"/>
    </xf>
    <xf numFmtId="3" fontId="39" fillId="2" borderId="9" xfId="11" applyFont="1" applyFill="1" applyBorder="1" applyAlignment="1">
      <alignment vertical="center"/>
    </xf>
    <xf numFmtId="3" fontId="25" fillId="2" borderId="0" xfId="17" applyFont="1" applyFill="1" applyBorder="1" applyAlignment="1">
      <alignment horizontal="left" vertical="center"/>
    </xf>
    <xf numFmtId="3" fontId="28" fillId="2" borderId="17" xfId="11" applyFont="1" applyFill="1" applyBorder="1" applyAlignment="1" applyProtection="1">
      <alignment horizontal="left" vertical="center"/>
    </xf>
    <xf numFmtId="41" fontId="25" fillId="0" borderId="17" xfId="17" applyNumberFormat="1" applyFont="1" applyFill="1" applyBorder="1" applyAlignment="1" applyProtection="1">
      <alignment horizontal="right" vertical="center"/>
    </xf>
    <xf numFmtId="41" fontId="25" fillId="2" borderId="17" xfId="17" applyNumberFormat="1" applyFont="1" applyFill="1" applyBorder="1" applyAlignment="1" applyProtection="1">
      <alignment horizontal="right" vertical="center"/>
    </xf>
    <xf numFmtId="41" fontId="28" fillId="2" borderId="17" xfId="17" applyNumberFormat="1" applyFont="1" applyFill="1" applyBorder="1" applyAlignment="1">
      <alignment horizontal="left" vertical="center"/>
    </xf>
    <xf numFmtId="41" fontId="28" fillId="2" borderId="17" xfId="17" applyNumberFormat="1" applyFont="1" applyFill="1" applyBorder="1" applyAlignment="1">
      <alignment horizontal="right" vertical="center"/>
    </xf>
    <xf numFmtId="41" fontId="28" fillId="2" borderId="18" xfId="17" applyNumberFormat="1" applyFont="1" applyFill="1" applyBorder="1" applyAlignment="1">
      <alignment horizontal="right" vertical="center"/>
    </xf>
    <xf numFmtId="41" fontId="28" fillId="0" borderId="13" xfId="17" applyNumberFormat="1" applyFont="1" applyFill="1" applyBorder="1" applyAlignment="1" applyProtection="1">
      <alignment horizontal="right" vertical="center"/>
    </xf>
    <xf numFmtId="5" fontId="28" fillId="2" borderId="0" xfId="17" applyNumberFormat="1" applyFont="1" applyFill="1" applyAlignment="1">
      <alignment horizontal="left" vertical="center"/>
    </xf>
    <xf numFmtId="3" fontId="28" fillId="0" borderId="27" xfId="11" applyFont="1" applyFill="1" applyBorder="1" applyAlignment="1" applyProtection="1">
      <alignment horizontal="left" vertical="center"/>
    </xf>
    <xf numFmtId="41" fontId="28" fillId="0" borderId="27" xfId="17" applyNumberFormat="1" applyFont="1" applyFill="1" applyBorder="1" applyAlignment="1" applyProtection="1">
      <alignment horizontal="right" vertical="center"/>
    </xf>
    <xf numFmtId="41" fontId="28" fillId="0" borderId="28" xfId="17" applyNumberFormat="1" applyFont="1" applyFill="1" applyBorder="1" applyAlignment="1" applyProtection="1">
      <alignment horizontal="right" vertical="center"/>
    </xf>
    <xf numFmtId="3" fontId="28" fillId="5" borderId="0" xfId="17" applyFont="1" applyFill="1" applyAlignment="1">
      <alignment horizontal="left" vertical="center"/>
    </xf>
    <xf numFmtId="3" fontId="28" fillId="0" borderId="0" xfId="11" applyFont="1" applyFill="1" applyAlignment="1">
      <alignment horizontal="left" vertical="center"/>
    </xf>
    <xf numFmtId="37" fontId="28" fillId="2" borderId="0" xfId="17" applyNumberFormat="1" applyFont="1" applyFill="1" applyAlignment="1">
      <alignment horizontal="right" vertical="center"/>
    </xf>
    <xf numFmtId="37" fontId="28" fillId="2" borderId="0" xfId="17" applyNumberFormat="1" applyFont="1" applyFill="1" applyAlignment="1">
      <alignment horizontal="left" vertical="center"/>
    </xf>
    <xf numFmtId="37" fontId="28" fillId="2" borderId="0" xfId="11" applyNumberFormat="1" applyFont="1" applyFill="1" applyAlignment="1">
      <alignment horizontal="right" vertical="center"/>
    </xf>
    <xf numFmtId="37" fontId="28" fillId="2" borderId="0" xfId="11" applyNumberFormat="1" applyFont="1" applyFill="1" applyAlignment="1">
      <alignment horizontal="left" vertical="center"/>
    </xf>
    <xf numFmtId="3" fontId="28" fillId="2" borderId="0" xfId="11" applyFont="1" applyFill="1" applyAlignment="1">
      <alignment horizontal="right" vertical="center"/>
    </xf>
    <xf numFmtId="3" fontId="12" fillId="0" borderId="0" xfId="16" applyFont="1" applyFill="1" applyBorder="1" applyAlignment="1">
      <alignment vertical="center"/>
    </xf>
    <xf numFmtId="6" fontId="13" fillId="0" borderId="0" xfId="21" applyNumberFormat="1" applyFont="1" applyFill="1" applyBorder="1" applyAlignment="1">
      <alignment horizontal="right" vertical="center"/>
    </xf>
    <xf numFmtId="3" fontId="13" fillId="0" borderId="0" xfId="11" applyFont="1" applyFill="1" applyBorder="1" applyAlignment="1" applyProtection="1">
      <alignment horizontal="center" wrapText="1"/>
    </xf>
    <xf numFmtId="3" fontId="13" fillId="0" borderId="0" xfId="11" applyFont="1" applyFill="1" applyAlignment="1">
      <alignment horizontal="left"/>
    </xf>
    <xf numFmtId="3" fontId="51" fillId="2" borderId="11" xfId="11" applyFont="1" applyFill="1" applyBorder="1" applyAlignment="1">
      <alignment vertical="center"/>
    </xf>
    <xf numFmtId="3" fontId="28" fillId="2" borderId="11" xfId="11" applyFont="1" applyFill="1" applyBorder="1" applyAlignment="1">
      <alignment horizontal="left" vertical="center" indent="1"/>
    </xf>
    <xf numFmtId="3" fontId="28" fillId="0" borderId="11" xfId="11" applyFont="1" applyFill="1" applyBorder="1" applyAlignment="1">
      <alignment horizontal="left" vertical="center" indent="1"/>
    </xf>
    <xf numFmtId="3" fontId="52" fillId="2" borderId="25" xfId="11" applyFont="1" applyFill="1" applyBorder="1" applyAlignment="1">
      <alignment horizontal="right" vertical="center"/>
    </xf>
    <xf numFmtId="3" fontId="53" fillId="0" borderId="25" xfId="11" applyFont="1" applyFill="1" applyBorder="1" applyAlignment="1">
      <alignment horizontal="right" vertical="center"/>
    </xf>
    <xf numFmtId="3" fontId="52" fillId="0" borderId="9" xfId="11" applyFont="1" applyFill="1" applyBorder="1" applyAlignment="1" applyProtection="1">
      <alignment horizontal="left" vertical="center"/>
    </xf>
    <xf numFmtId="167" fontId="48" fillId="0" borderId="9" xfId="20" applyNumberFormat="1" applyFont="1" applyFill="1" applyBorder="1" applyAlignment="1">
      <alignment horizontal="center" vertical="center"/>
    </xf>
    <xf numFmtId="167" fontId="48" fillId="0" borderId="0" xfId="20" applyNumberFormat="1" applyFont="1" applyFill="1" applyBorder="1" applyAlignment="1">
      <alignment horizontal="center" vertical="center"/>
    </xf>
    <xf numFmtId="41" fontId="48" fillId="0" borderId="0" xfId="20" applyNumberFormat="1" applyFont="1" applyFill="1" applyBorder="1" applyAlignment="1">
      <alignment horizontal="center" vertical="center"/>
    </xf>
    <xf numFmtId="41" fontId="48" fillId="0" borderId="9" xfId="20" applyNumberFormat="1" applyFont="1" applyFill="1" applyBorder="1" applyAlignment="1">
      <alignment horizontal="center" vertical="center"/>
    </xf>
    <xf numFmtId="3" fontId="52" fillId="0" borderId="0" xfId="11" applyFont="1" applyFill="1" applyBorder="1" applyAlignment="1">
      <alignment horizontal="left" vertical="center"/>
    </xf>
    <xf numFmtId="3" fontId="52" fillId="0" borderId="0" xfId="11" applyFont="1" applyFill="1" applyBorder="1" applyAlignment="1" applyProtection="1">
      <alignment horizontal="left" vertical="center"/>
    </xf>
    <xf numFmtId="167" fontId="51" fillId="0" borderId="9" xfId="20" applyNumberFormat="1" applyFont="1" applyFill="1" applyBorder="1" applyAlignment="1">
      <alignment horizontal="center" vertical="center"/>
    </xf>
    <xf numFmtId="3" fontId="25" fillId="0" borderId="0" xfId="11" applyFont="1" applyFill="1" applyAlignment="1">
      <alignment horizontal="left" vertical="center"/>
    </xf>
    <xf numFmtId="3" fontId="37" fillId="0" borderId="0" xfId="11" applyFont="1" applyFill="1" applyAlignment="1">
      <alignment horizontal="left" vertical="center"/>
    </xf>
    <xf numFmtId="3" fontId="37" fillId="0" borderId="0" xfId="17" applyFont="1" applyFill="1" applyAlignment="1">
      <alignment horizontal="left" vertical="center"/>
    </xf>
    <xf numFmtId="3" fontId="25" fillId="0" borderId="0" xfId="17" applyFont="1" applyFill="1" applyAlignment="1">
      <alignment horizontal="left" vertical="center"/>
    </xf>
    <xf numFmtId="5" fontId="28" fillId="0" borderId="0" xfId="17" applyNumberFormat="1" applyFont="1" applyFill="1" applyAlignment="1">
      <alignment horizontal="left" vertical="center"/>
    </xf>
    <xf numFmtId="3" fontId="28" fillId="0" borderId="17" xfId="11" applyFont="1" applyFill="1" applyBorder="1" applyAlignment="1" applyProtection="1">
      <alignment horizontal="left" vertical="center"/>
    </xf>
    <xf numFmtId="41" fontId="28" fillId="0" borderId="17" xfId="17" applyNumberFormat="1" applyFont="1" applyFill="1" applyBorder="1" applyAlignment="1" applyProtection="1">
      <alignment horizontal="right" vertical="center"/>
    </xf>
    <xf numFmtId="41" fontId="28" fillId="0" borderId="18" xfId="17" applyNumberFormat="1" applyFont="1" applyFill="1" applyBorder="1" applyAlignment="1" applyProtection="1">
      <alignment horizontal="right" vertical="center"/>
    </xf>
    <xf numFmtId="49" fontId="52" fillId="2" borderId="0" xfId="11" applyNumberFormat="1" applyFont="1" applyFill="1" applyBorder="1" applyAlignment="1" applyProtection="1">
      <alignment horizontal="left" vertical="center"/>
    </xf>
    <xf numFmtId="5" fontId="41" fillId="0" borderId="9" xfId="17" applyNumberFormat="1" applyFont="1" applyFill="1" applyBorder="1" applyAlignment="1" applyProtection="1">
      <alignment horizontal="right" vertical="center"/>
    </xf>
    <xf numFmtId="3" fontId="52" fillId="2" borderId="25" xfId="11" applyFont="1" applyFill="1" applyBorder="1" applyAlignment="1" applyProtection="1">
      <alignment horizontal="right" vertical="center"/>
    </xf>
    <xf numFmtId="3" fontId="28" fillId="2" borderId="32" xfId="11" applyFont="1" applyFill="1" applyBorder="1" applyAlignment="1">
      <alignment horizontal="left" vertical="center"/>
    </xf>
    <xf numFmtId="3" fontId="28" fillId="0" borderId="11" xfId="11" applyFont="1" applyFill="1" applyBorder="1" applyAlignment="1" applyProtection="1">
      <alignment horizontal="left" vertical="center" indent="1"/>
    </xf>
    <xf numFmtId="9" fontId="3" fillId="0" borderId="0" xfId="20" applyFont="1" applyFill="1" applyBorder="1" applyAlignment="1">
      <alignment horizontal="left" vertical="center"/>
    </xf>
    <xf numFmtId="3" fontId="28" fillId="2" borderId="11" xfId="11" applyFont="1" applyFill="1" applyBorder="1" applyAlignment="1" applyProtection="1">
      <alignment horizontal="left" vertical="center" indent="1"/>
    </xf>
    <xf numFmtId="3" fontId="51" fillId="2" borderId="34" xfId="11" applyFont="1" applyFill="1" applyBorder="1" applyAlignment="1">
      <alignment horizontal="left"/>
    </xf>
    <xf numFmtId="6" fontId="38" fillId="2" borderId="0" xfId="17" applyNumberFormat="1" applyFont="1" applyFill="1" applyBorder="1" applyAlignment="1" applyProtection="1">
      <alignment horizontal="right" vertical="center"/>
    </xf>
    <xf numFmtId="6" fontId="25" fillId="0" borderId="9" xfId="17" applyNumberFormat="1" applyFont="1" applyFill="1" applyBorder="1" applyAlignment="1" applyProtection="1">
      <alignment horizontal="right" vertical="center"/>
    </xf>
    <xf numFmtId="3" fontId="40" fillId="2" borderId="11" xfId="11" applyFont="1" applyFill="1" applyBorder="1" applyAlignment="1">
      <alignment horizontal="left" vertical="center" indent="1"/>
    </xf>
    <xf numFmtId="3" fontId="51" fillId="2" borderId="12" xfId="11" quotePrefix="1" applyFont="1" applyFill="1" applyBorder="1" applyAlignment="1" applyProtection="1">
      <alignment horizontal="left" vertical="center"/>
    </xf>
    <xf numFmtId="3" fontId="52" fillId="0" borderId="26" xfId="11" applyFont="1" applyFill="1" applyBorder="1" applyAlignment="1" applyProtection="1">
      <alignment horizontal="right" vertical="center"/>
    </xf>
    <xf numFmtId="172" fontId="13" fillId="0" borderId="0" xfId="26" applyNumberFormat="1" applyFont="1" applyFill="1" applyBorder="1"/>
    <xf numFmtId="10" fontId="13" fillId="0" borderId="0" xfId="26" applyNumberFormat="1" applyFont="1" applyFill="1" applyBorder="1"/>
    <xf numFmtId="0" fontId="56" fillId="0" borderId="0" xfId="25" applyFont="1" applyFill="1"/>
    <xf numFmtId="0" fontId="56" fillId="0" borderId="0" xfId="25" applyFont="1" applyFill="1" applyBorder="1"/>
    <xf numFmtId="14" fontId="56" fillId="0" borderId="0" xfId="25" applyNumberFormat="1" applyFont="1" applyFill="1" applyBorder="1"/>
    <xf numFmtId="0" fontId="12" fillId="0" borderId="0" xfId="25" applyFont="1" applyFill="1" applyBorder="1"/>
    <xf numFmtId="4" fontId="12" fillId="0" borderId="0" xfId="25" applyNumberFormat="1" applyFont="1" applyFill="1" applyBorder="1" applyAlignment="1">
      <alignment horizontal="right"/>
    </xf>
    <xf numFmtId="0" fontId="57" fillId="0" borderId="0" xfId="25" applyFont="1" applyFill="1"/>
    <xf numFmtId="0" fontId="56" fillId="10" borderId="0" xfId="25" applyFont="1" applyFill="1"/>
    <xf numFmtId="10" fontId="56" fillId="0" borderId="0" xfId="26" applyNumberFormat="1" applyFont="1" applyFill="1" applyBorder="1"/>
    <xf numFmtId="0" fontId="56" fillId="0" borderId="37" xfId="25" applyFont="1" applyFill="1" applyBorder="1"/>
    <xf numFmtId="0" fontId="56" fillId="0" borderId="36" xfId="25" applyFont="1" applyFill="1" applyBorder="1"/>
    <xf numFmtId="14" fontId="56" fillId="0" borderId="36" xfId="25" applyNumberFormat="1" applyFont="1" applyFill="1" applyBorder="1"/>
    <xf numFmtId="4" fontId="12" fillId="0" borderId="36" xfId="25" applyNumberFormat="1" applyFont="1" applyFill="1" applyBorder="1" applyAlignment="1">
      <alignment horizontal="right"/>
    </xf>
    <xf numFmtId="4" fontId="56" fillId="0" borderId="0" xfId="25" applyNumberFormat="1" applyFont="1" applyFill="1"/>
    <xf numFmtId="0" fontId="57" fillId="0" borderId="0" xfId="25" applyFont="1" applyFill="1" applyBorder="1" applyAlignment="1">
      <alignment horizontal="center"/>
    </xf>
    <xf numFmtId="4" fontId="57" fillId="0" borderId="0" xfId="25" applyNumberFormat="1" applyFont="1" applyFill="1" applyBorder="1"/>
    <xf numFmtId="0" fontId="57" fillId="0" borderId="0" xfId="25" applyFont="1" applyFill="1" applyBorder="1"/>
    <xf numFmtId="3" fontId="25" fillId="0" borderId="17" xfId="11" applyFont="1" applyFill="1" applyBorder="1" applyAlignment="1" applyProtection="1">
      <alignment horizontal="left" vertical="center"/>
    </xf>
    <xf numFmtId="169" fontId="16" fillId="0" borderId="0" xfId="0" applyNumberFormat="1" applyFont="1" applyAlignment="1">
      <alignment horizontal="right"/>
    </xf>
    <xf numFmtId="41" fontId="43" fillId="0" borderId="0" xfId="0" applyNumberFormat="1" applyFont="1" applyAlignment="1">
      <alignment horizontal="left" indent="2"/>
    </xf>
    <xf numFmtId="0" fontId="13" fillId="0" borderId="0" xfId="25" applyFont="1" applyFill="1" applyBorder="1"/>
    <xf numFmtId="0" fontId="58" fillId="0" borderId="0" xfId="6" applyFont="1"/>
    <xf numFmtId="0" fontId="12" fillId="0" borderId="0" xfId="6" applyFont="1" applyBorder="1" applyAlignment="1">
      <alignment horizontal="center"/>
    </xf>
    <xf numFmtId="0" fontId="12" fillId="0" borderId="1" xfId="6" applyFont="1" applyBorder="1"/>
    <xf numFmtId="0" fontId="12" fillId="0" borderId="1" xfId="6" applyFont="1" applyFill="1" applyBorder="1"/>
    <xf numFmtId="14" fontId="13" fillId="0" borderId="0" xfId="6" applyNumberFormat="1" applyFont="1" applyBorder="1" applyAlignment="1">
      <alignment horizontal="right"/>
    </xf>
    <xf numFmtId="171" fontId="13" fillId="0" borderId="2" xfId="7" applyNumberFormat="1" applyFont="1" applyBorder="1"/>
    <xf numFmtId="0" fontId="13" fillId="0" borderId="30" xfId="6" applyFont="1" applyFill="1" applyBorder="1"/>
    <xf numFmtId="0" fontId="13" fillId="0" borderId="5" xfId="6" applyFont="1" applyFill="1" applyBorder="1"/>
    <xf numFmtId="0" fontId="13" fillId="0" borderId="6" xfId="6" applyFont="1" applyFill="1" applyBorder="1"/>
    <xf numFmtId="168" fontId="13" fillId="0" borderId="2" xfId="6" applyNumberFormat="1" applyFont="1" applyBorder="1" applyAlignment="1">
      <alignment horizontal="right"/>
    </xf>
    <xf numFmtId="169" fontId="13" fillId="0" borderId="0" xfId="26" applyNumberFormat="1" applyFont="1" applyFill="1" applyBorder="1"/>
    <xf numFmtId="169" fontId="13" fillId="0" borderId="0" xfId="25" applyNumberFormat="1" applyFont="1" applyFill="1" applyBorder="1"/>
    <xf numFmtId="3" fontId="51" fillId="0" borderId="12" xfId="11" applyFont="1" applyFill="1" applyBorder="1" applyAlignment="1" applyProtection="1">
      <alignment horizontal="left" vertical="center"/>
    </xf>
    <xf numFmtId="3" fontId="28" fillId="2" borderId="11" xfId="17" applyFont="1" applyFill="1" applyBorder="1" applyAlignment="1">
      <alignment horizontal="left" vertical="center" indent="1"/>
    </xf>
    <xf numFmtId="3" fontId="28" fillId="2" borderId="14" xfId="17" applyFont="1" applyFill="1" applyBorder="1" applyAlignment="1">
      <alignment horizontal="left" vertical="center" indent="1"/>
    </xf>
    <xf numFmtId="3" fontId="28" fillId="0" borderId="15" xfId="11" applyFont="1" applyFill="1" applyBorder="1" applyAlignment="1" applyProtection="1">
      <alignment horizontal="left" vertical="center"/>
    </xf>
    <xf numFmtId="41" fontId="28" fillId="0" borderId="15" xfId="17" applyNumberFormat="1" applyFont="1" applyFill="1" applyBorder="1" applyAlignment="1" applyProtection="1">
      <alignment horizontal="right" vertical="center"/>
    </xf>
    <xf numFmtId="41" fontId="28" fillId="0" borderId="16" xfId="17" applyNumberFormat="1" applyFont="1" applyFill="1" applyBorder="1" applyAlignment="1" applyProtection="1">
      <alignment horizontal="right" vertical="center"/>
    </xf>
    <xf numFmtId="3" fontId="25" fillId="2" borderId="12" xfId="11" applyFont="1" applyFill="1" applyBorder="1" applyAlignment="1">
      <alignment horizontal="left" vertical="center"/>
    </xf>
    <xf numFmtId="3" fontId="25" fillId="2" borderId="17" xfId="11" applyFont="1" applyFill="1" applyBorder="1" applyAlignment="1">
      <alignment horizontal="left" vertical="center"/>
    </xf>
    <xf numFmtId="3" fontId="25" fillId="0" borderId="17" xfId="11" applyFont="1" applyFill="1" applyBorder="1" applyAlignment="1">
      <alignment horizontal="center" vertical="center"/>
    </xf>
    <xf numFmtId="3" fontId="25" fillId="2" borderId="17" xfId="11" quotePrefix="1" applyFont="1" applyFill="1" applyBorder="1" applyAlignment="1">
      <alignment horizontal="right" vertical="center"/>
    </xf>
    <xf numFmtId="3" fontId="25" fillId="2" borderId="18" xfId="11" quotePrefix="1" applyFont="1" applyFill="1" applyBorder="1" applyAlignment="1">
      <alignment horizontal="right" vertical="center"/>
    </xf>
    <xf numFmtId="41" fontId="28" fillId="2" borderId="13" xfId="17" applyNumberFormat="1" applyFont="1" applyFill="1" applyBorder="1" applyAlignment="1" applyProtection="1">
      <alignment horizontal="right" vertical="center"/>
    </xf>
    <xf numFmtId="5" fontId="28" fillId="0" borderId="13" xfId="17" applyNumberFormat="1" applyFont="1" applyFill="1" applyBorder="1" applyAlignment="1" applyProtection="1">
      <alignment horizontal="right" vertical="center"/>
    </xf>
    <xf numFmtId="5" fontId="41" fillId="0" borderId="24" xfId="17" applyNumberFormat="1" applyFont="1" applyFill="1" applyBorder="1" applyAlignment="1" applyProtection="1">
      <alignment horizontal="right" vertical="center"/>
    </xf>
    <xf numFmtId="41" fontId="28" fillId="0" borderId="32" xfId="17" applyNumberFormat="1" applyFont="1" applyFill="1" applyBorder="1" applyAlignment="1">
      <alignment horizontal="right" vertical="center"/>
    </xf>
    <xf numFmtId="41" fontId="28" fillId="2" borderId="32" xfId="17" applyNumberFormat="1" applyFont="1" applyFill="1" applyBorder="1" applyAlignment="1">
      <alignment horizontal="right" vertical="center"/>
    </xf>
    <xf numFmtId="3" fontId="25" fillId="0" borderId="27" xfId="11" applyFont="1" applyFill="1" applyBorder="1" applyAlignment="1">
      <alignment vertical="center"/>
    </xf>
    <xf numFmtId="167" fontId="51" fillId="0" borderId="27" xfId="11" applyNumberFormat="1" applyFont="1" applyFill="1" applyBorder="1" applyAlignment="1">
      <alignment vertical="center"/>
    </xf>
    <xf numFmtId="41" fontId="25" fillId="0" borderId="27" xfId="17" applyNumberFormat="1" applyFont="1" applyFill="1" applyBorder="1" applyAlignment="1">
      <alignment horizontal="right" vertical="center"/>
    </xf>
    <xf numFmtId="41" fontId="25" fillId="0" borderId="27" xfId="17" applyNumberFormat="1" applyFont="1" applyFill="1" applyBorder="1" applyAlignment="1">
      <alignment vertical="center"/>
    </xf>
    <xf numFmtId="41" fontId="25" fillId="0" borderId="28" xfId="17" applyNumberFormat="1" applyFont="1" applyFill="1" applyBorder="1" applyAlignment="1">
      <alignment vertical="center"/>
    </xf>
    <xf numFmtId="3" fontId="54" fillId="2" borderId="25" xfId="11" applyFont="1" applyFill="1" applyBorder="1" applyAlignment="1">
      <alignment horizontal="right" vertical="center"/>
    </xf>
    <xf numFmtId="3" fontId="51" fillId="0" borderId="26" xfId="11" applyFont="1" applyFill="1" applyBorder="1" applyAlignment="1">
      <alignment horizontal="right" vertical="center"/>
    </xf>
    <xf numFmtId="10" fontId="52" fillId="0" borderId="27" xfId="15" applyNumberFormat="1" applyFont="1" applyFill="1" applyBorder="1" applyAlignment="1">
      <alignment horizontal="center" vertical="center"/>
      <protection locked="0"/>
    </xf>
    <xf numFmtId="3" fontId="28" fillId="0" borderId="17" xfId="23" applyFont="1" applyFill="1" applyBorder="1" applyAlignment="1">
      <alignment vertical="center"/>
    </xf>
    <xf numFmtId="39" fontId="28" fillId="0" borderId="17" xfId="23" applyNumberFormat="1" applyFont="1" applyFill="1" applyBorder="1" applyAlignment="1">
      <alignment horizontal="right" vertical="center"/>
    </xf>
    <xf numFmtId="39" fontId="28" fillId="0" borderId="18" xfId="23" applyNumberFormat="1" applyFont="1" applyFill="1" applyBorder="1" applyAlignment="1">
      <alignment horizontal="right" vertical="center"/>
    </xf>
    <xf numFmtId="3" fontId="28" fillId="0" borderId="15" xfId="11" applyFont="1" applyFill="1" applyBorder="1" applyAlignment="1">
      <alignment horizontal="left" vertical="center"/>
    </xf>
    <xf numFmtId="2" fontId="28" fillId="0" borderId="15" xfId="11" applyNumberFormat="1" applyFont="1" applyFill="1" applyBorder="1" applyAlignment="1">
      <alignment horizontal="right" vertical="center"/>
    </xf>
    <xf numFmtId="2" fontId="28" fillId="0" borderId="16" xfId="11" applyNumberFormat="1" applyFont="1" applyFill="1" applyBorder="1" applyAlignment="1">
      <alignment horizontal="right" vertical="center"/>
    </xf>
    <xf numFmtId="41" fontId="38" fillId="2" borderId="40" xfId="17" applyNumberFormat="1" applyFont="1" applyFill="1" applyBorder="1" applyAlignment="1" applyProtection="1">
      <alignment horizontal="right" vertical="center"/>
    </xf>
    <xf numFmtId="41" fontId="25" fillId="0" borderId="42" xfId="17" applyNumberFormat="1" applyFont="1" applyFill="1" applyBorder="1" applyAlignment="1">
      <alignment vertical="center"/>
    </xf>
    <xf numFmtId="41" fontId="28" fillId="0" borderId="40" xfId="17" applyNumberFormat="1" applyFont="1" applyFill="1" applyBorder="1" applyAlignment="1" applyProtection="1">
      <alignment horizontal="right" vertical="center"/>
    </xf>
    <xf numFmtId="41" fontId="28" fillId="0" borderId="43" xfId="17" applyNumberFormat="1" applyFont="1" applyFill="1" applyBorder="1" applyAlignment="1" applyProtection="1">
      <alignment horizontal="right" vertical="center"/>
    </xf>
    <xf numFmtId="41" fontId="28" fillId="0" borderId="39" xfId="17" applyNumberFormat="1" applyFont="1" applyFill="1" applyBorder="1" applyAlignment="1" applyProtection="1">
      <alignment horizontal="right" vertical="center"/>
    </xf>
    <xf numFmtId="3" fontId="25" fillId="2" borderId="43" xfId="11" quotePrefix="1" applyFont="1" applyFill="1" applyBorder="1" applyAlignment="1">
      <alignment horizontal="right" vertical="center"/>
    </xf>
    <xf numFmtId="37" fontId="28" fillId="2" borderId="40" xfId="11" applyNumberFormat="1" applyFont="1" applyFill="1" applyBorder="1" applyAlignment="1">
      <alignment horizontal="left" vertical="center"/>
    </xf>
    <xf numFmtId="41" fontId="28" fillId="2" borderId="40" xfId="17" applyNumberFormat="1" applyFont="1" applyFill="1" applyBorder="1" applyAlignment="1" applyProtection="1">
      <alignment horizontal="right" vertical="center"/>
    </xf>
    <xf numFmtId="41" fontId="38" fillId="2" borderId="41" xfId="17" applyNumberFormat="1" applyFont="1" applyFill="1" applyBorder="1" applyAlignment="1" applyProtection="1">
      <alignment horizontal="right" vertical="center"/>
    </xf>
    <xf numFmtId="41" fontId="38" fillId="2" borderId="41" xfId="17" applyNumberFormat="1" applyFont="1" applyFill="1" applyBorder="1" applyAlignment="1">
      <alignment horizontal="right" vertical="center"/>
    </xf>
    <xf numFmtId="41" fontId="38" fillId="2" borderId="40" xfId="17" applyNumberFormat="1" applyFont="1" applyFill="1" applyBorder="1" applyAlignment="1">
      <alignment horizontal="right" vertical="center"/>
    </xf>
    <xf numFmtId="5" fontId="28" fillId="0" borderId="40" xfId="17" applyNumberFormat="1" applyFont="1" applyFill="1" applyBorder="1" applyAlignment="1" applyProtection="1">
      <alignment horizontal="right" vertical="center"/>
    </xf>
    <xf numFmtId="5" fontId="41" fillId="0" borderId="41" xfId="17" applyNumberFormat="1" applyFont="1" applyFill="1" applyBorder="1" applyAlignment="1" applyProtection="1">
      <alignment horizontal="right" vertical="center"/>
    </xf>
    <xf numFmtId="41" fontId="28" fillId="2" borderId="40" xfId="17" applyNumberFormat="1" applyFont="1" applyFill="1" applyBorder="1" applyAlignment="1">
      <alignment horizontal="right" vertical="center"/>
    </xf>
    <xf numFmtId="3" fontId="25" fillId="0" borderId="12" xfId="23" applyFont="1" applyFill="1" applyBorder="1" applyAlignment="1">
      <alignment horizontal="left" vertical="center" indent="1"/>
    </xf>
    <xf numFmtId="3" fontId="25" fillId="0" borderId="14" xfId="11" quotePrefix="1" applyFont="1" applyFill="1" applyBorder="1" applyAlignment="1">
      <alignment horizontal="left" vertical="center" indent="1"/>
    </xf>
    <xf numFmtId="0" fontId="13" fillId="0" borderId="36" xfId="25" applyFont="1" applyFill="1" applyBorder="1" applyAlignment="1">
      <alignment horizontal="center"/>
    </xf>
    <xf numFmtId="14" fontId="13" fillId="0" borderId="36" xfId="25" applyNumberFormat="1" applyFont="1" applyFill="1" applyBorder="1"/>
    <xf numFmtId="169" fontId="13" fillId="0" borderId="36" xfId="26" applyNumberFormat="1" applyFont="1" applyFill="1" applyBorder="1"/>
    <xf numFmtId="3" fontId="43" fillId="3" borderId="0" xfId="11" applyFont="1" applyFill="1" applyBorder="1" applyAlignment="1">
      <alignment vertical="center"/>
    </xf>
    <xf numFmtId="167" fontId="52" fillId="3" borderId="0" xfId="20" applyNumberFormat="1" applyFont="1" applyFill="1" applyBorder="1" applyAlignment="1" applyProtection="1">
      <alignment horizontal="center" vertical="center"/>
    </xf>
    <xf numFmtId="167" fontId="48" fillId="3" borderId="0" xfId="20" applyNumberFormat="1" applyFont="1" applyFill="1" applyBorder="1" applyAlignment="1">
      <alignment horizontal="center" vertical="center"/>
    </xf>
    <xf numFmtId="167" fontId="52" fillId="3" borderId="0" xfId="20" applyNumberFormat="1" applyFont="1" applyFill="1" applyBorder="1" applyAlignment="1">
      <alignment horizontal="center" vertical="center"/>
    </xf>
    <xf numFmtId="10" fontId="52" fillId="3" borderId="0" xfId="20" applyNumberFormat="1" applyFont="1" applyFill="1" applyBorder="1" applyAlignment="1" applyProtection="1">
      <alignment horizontal="center" vertical="center"/>
    </xf>
    <xf numFmtId="10" fontId="52" fillId="3" borderId="15" xfId="20" applyNumberFormat="1" applyFont="1" applyFill="1" applyBorder="1" applyAlignment="1" applyProtection="1">
      <alignment horizontal="center" vertical="center"/>
    </xf>
    <xf numFmtId="167" fontId="23" fillId="0" borderId="22" xfId="20" applyNumberFormat="1" applyFont="1" applyFill="1" applyBorder="1" applyAlignment="1" applyProtection="1">
      <alignment horizontal="left" vertical="top" wrapText="1"/>
      <protection locked="0"/>
    </xf>
    <xf numFmtId="6" fontId="13" fillId="11" borderId="0" xfId="17" applyNumberFormat="1" applyFont="1" applyFill="1" applyBorder="1" applyAlignment="1">
      <alignment vertical="center"/>
    </xf>
    <xf numFmtId="1" fontId="13" fillId="11" borderId="0" xfId="21" applyNumberFormat="1" applyFont="1" applyFill="1" applyBorder="1" applyAlignment="1">
      <alignment horizontal="right" vertical="center"/>
    </xf>
    <xf numFmtId="6" fontId="13" fillId="11" borderId="9" xfId="21" applyNumberFormat="1" applyFont="1" applyFill="1" applyBorder="1" applyAlignment="1">
      <alignment horizontal="right" vertical="center"/>
    </xf>
    <xf numFmtId="6" fontId="13" fillId="11" borderId="0" xfId="21" applyNumberFormat="1" applyFont="1" applyFill="1" applyBorder="1" applyAlignment="1">
      <alignment horizontal="right" vertical="center"/>
    </xf>
    <xf numFmtId="171" fontId="13" fillId="11" borderId="0" xfId="1" applyNumberFormat="1" applyFont="1" applyFill="1" applyBorder="1" applyAlignment="1">
      <alignment horizontal="right" vertical="center"/>
    </xf>
    <xf numFmtId="169" fontId="13" fillId="11" borderId="9" xfId="21" applyNumberFormat="1" applyFont="1" applyFill="1" applyBorder="1" applyAlignment="1">
      <alignment horizontal="right" vertical="center"/>
    </xf>
    <xf numFmtId="6" fontId="13" fillId="11" borderId="9" xfId="21" applyNumberFormat="1" applyFont="1" applyFill="1" applyBorder="1" applyAlignment="1">
      <alignment horizontal="right"/>
    </xf>
    <xf numFmtId="6" fontId="13" fillId="11" borderId="44" xfId="21" applyNumberFormat="1" applyFont="1" applyFill="1" applyBorder="1" applyAlignment="1" applyProtection="1">
      <alignment horizontal="right" vertical="center"/>
    </xf>
    <xf numFmtId="6" fontId="13" fillId="11" borderId="17" xfId="21" applyNumberFormat="1" applyFont="1" applyFill="1" applyBorder="1" applyAlignment="1" applyProtection="1">
      <alignment horizontal="right" vertical="center"/>
    </xf>
    <xf numFmtId="0" fontId="13" fillId="11" borderId="0" xfId="21" applyNumberFormat="1" applyFont="1" applyFill="1" applyBorder="1" applyAlignment="1">
      <alignment horizontal="right" vertical="center"/>
    </xf>
    <xf numFmtId="6" fontId="13" fillId="11" borderId="9" xfId="21" applyNumberFormat="1" applyFont="1" applyFill="1" applyBorder="1" applyAlignment="1" applyProtection="1">
      <alignment horizontal="right" vertical="center"/>
    </xf>
    <xf numFmtId="6" fontId="13" fillId="11" borderId="13" xfId="17" applyNumberFormat="1" applyFont="1" applyFill="1" applyBorder="1" applyAlignment="1">
      <alignment vertical="center"/>
    </xf>
    <xf numFmtId="1" fontId="13" fillId="11" borderId="13" xfId="21" applyNumberFormat="1" applyFont="1" applyFill="1" applyBorder="1" applyAlignment="1">
      <alignment horizontal="right" vertical="center"/>
    </xf>
    <xf numFmtId="6" fontId="13" fillId="11" borderId="24" xfId="21" applyNumberFormat="1" applyFont="1" applyFill="1" applyBorder="1" applyAlignment="1">
      <alignment horizontal="right" vertical="center"/>
    </xf>
    <xf numFmtId="6" fontId="13" fillId="11" borderId="13" xfId="21" applyNumberFormat="1" applyFont="1" applyFill="1" applyBorder="1" applyAlignment="1">
      <alignment horizontal="right" vertical="center"/>
    </xf>
    <xf numFmtId="171" fontId="13" fillId="11" borderId="13" xfId="1" applyNumberFormat="1" applyFont="1" applyFill="1" applyBorder="1" applyAlignment="1">
      <alignment horizontal="right" vertical="center"/>
    </xf>
    <xf numFmtId="169" fontId="13" fillId="11" borderId="24" xfId="21" applyNumberFormat="1" applyFont="1" applyFill="1" applyBorder="1" applyAlignment="1">
      <alignment horizontal="right" vertical="center"/>
    </xf>
    <xf numFmtId="6" fontId="13" fillId="11" borderId="24" xfId="21" applyNumberFormat="1" applyFont="1" applyFill="1" applyBorder="1" applyAlignment="1">
      <alignment horizontal="right"/>
    </xf>
    <xf numFmtId="6" fontId="13" fillId="11" borderId="45" xfId="21" applyNumberFormat="1" applyFont="1" applyFill="1" applyBorder="1" applyAlignment="1" applyProtection="1">
      <alignment horizontal="right" vertical="center"/>
    </xf>
    <xf numFmtId="6" fontId="13" fillId="11" borderId="18" xfId="21" applyNumberFormat="1" applyFont="1" applyFill="1" applyBorder="1" applyAlignment="1" applyProtection="1">
      <alignment horizontal="right" vertical="center"/>
    </xf>
    <xf numFmtId="0" fontId="13" fillId="11" borderId="13" xfId="21" applyNumberFormat="1" applyFont="1" applyFill="1" applyBorder="1" applyAlignment="1">
      <alignment horizontal="right" vertical="center"/>
    </xf>
    <xf numFmtId="6" fontId="13" fillId="11" borderId="24" xfId="21" applyNumberFormat="1" applyFont="1" applyFill="1" applyBorder="1" applyAlignment="1" applyProtection="1">
      <alignment horizontal="right" vertical="center"/>
    </xf>
    <xf numFmtId="169" fontId="60" fillId="0" borderId="0" xfId="26" applyNumberFormat="1" applyFont="1" applyFill="1" applyBorder="1"/>
    <xf numFmtId="0" fontId="56" fillId="3" borderId="0" xfId="25" applyFont="1" applyFill="1"/>
    <xf numFmtId="0" fontId="63" fillId="3" borderId="0" xfId="25" applyFont="1" applyFill="1" applyAlignment="1">
      <alignment horizontal="left" indent="7"/>
    </xf>
    <xf numFmtId="5" fontId="28" fillId="2" borderId="11" xfId="11" applyNumberFormat="1" applyFont="1" applyFill="1" applyBorder="1" applyAlignment="1" applyProtection="1">
      <alignment horizontal="left" vertical="center" indent="2"/>
    </xf>
    <xf numFmtId="3" fontId="28" fillId="0" borderId="11" xfId="11" applyFont="1" applyFill="1" applyBorder="1" applyAlignment="1" applyProtection="1">
      <alignment horizontal="left" vertical="center" indent="2"/>
    </xf>
    <xf numFmtId="14" fontId="12" fillId="0" borderId="0" xfId="6" applyNumberFormat="1" applyFont="1" applyBorder="1" applyAlignment="1">
      <alignment horizontal="right"/>
    </xf>
    <xf numFmtId="169" fontId="12" fillId="0" borderId="0" xfId="26" applyNumberFormat="1" applyFont="1" applyFill="1" applyBorder="1"/>
    <xf numFmtId="169" fontId="12" fillId="0" borderId="0" xfId="25" applyNumberFormat="1" applyFont="1" applyFill="1" applyBorder="1"/>
    <xf numFmtId="0" fontId="0" fillId="9" borderId="0" xfId="0" applyFill="1" applyBorder="1" applyAlignment="1">
      <alignment vertical="center"/>
    </xf>
    <xf numFmtId="0" fontId="5" fillId="9" borderId="0" xfId="0" applyFont="1" applyFill="1" applyBorder="1" applyProtection="1"/>
    <xf numFmtId="0" fontId="16" fillId="9" borderId="0" xfId="0" applyFont="1" applyFill="1"/>
    <xf numFmtId="0" fontId="12" fillId="9" borderId="0" xfId="0" applyFont="1" applyFill="1" applyAlignment="1">
      <alignment horizontal="right"/>
    </xf>
    <xf numFmtId="1" fontId="24" fillId="9" borderId="0" xfId="0" applyNumberFormat="1" applyFont="1" applyFill="1"/>
    <xf numFmtId="0" fontId="16" fillId="9" borderId="0" xfId="0" applyFont="1" applyFill="1" applyBorder="1"/>
    <xf numFmtId="0" fontId="6" fillId="9" borderId="0" xfId="0" applyFont="1" applyFill="1" applyBorder="1" applyProtection="1"/>
    <xf numFmtId="0" fontId="16" fillId="9" borderId="0" xfId="0" applyFont="1" applyFill="1" applyAlignment="1"/>
    <xf numFmtId="10" fontId="17" fillId="9" borderId="0" xfId="0" applyNumberFormat="1" applyFont="1" applyFill="1"/>
    <xf numFmtId="0" fontId="26" fillId="9" borderId="0" xfId="0" applyFont="1" applyFill="1" applyBorder="1"/>
    <xf numFmtId="0" fontId="11" fillId="9" borderId="0" xfId="0" applyFont="1" applyFill="1" applyBorder="1" applyProtection="1">
      <protection locked="0"/>
    </xf>
    <xf numFmtId="0" fontId="13" fillId="9" borderId="0" xfId="0" applyFont="1" applyFill="1"/>
    <xf numFmtId="0" fontId="9" fillId="9" borderId="0" xfId="0" applyFont="1" applyFill="1" applyBorder="1" applyProtection="1"/>
    <xf numFmtId="5" fontId="11" fillId="9" borderId="0" xfId="0" applyNumberFormat="1" applyFont="1" applyFill="1" applyBorder="1" applyProtection="1">
      <protection locked="0"/>
    </xf>
    <xf numFmtId="5" fontId="16" fillId="9" borderId="0" xfId="0" applyNumberFormat="1" applyFont="1" applyFill="1"/>
    <xf numFmtId="175" fontId="16" fillId="9" borderId="0" xfId="0" applyNumberFormat="1" applyFont="1" applyFill="1"/>
    <xf numFmtId="44" fontId="16" fillId="9" borderId="0" xfId="2" applyFont="1" applyFill="1"/>
    <xf numFmtId="41" fontId="16" fillId="9" borderId="0" xfId="0" applyNumberFormat="1" applyFont="1" applyFill="1"/>
    <xf numFmtId="7" fontId="16" fillId="9" borderId="0" xfId="0" applyNumberFormat="1" applyFont="1" applyFill="1"/>
    <xf numFmtId="9" fontId="16" fillId="9" borderId="0" xfId="5" applyFont="1" applyFill="1"/>
    <xf numFmtId="0" fontId="9" fillId="9" borderId="0" xfId="0" applyFont="1" applyFill="1" applyProtection="1"/>
    <xf numFmtId="0" fontId="16" fillId="9" borderId="0" xfId="0" applyFont="1" applyFill="1" applyAlignment="1" applyProtection="1"/>
    <xf numFmtId="10" fontId="10" fillId="9" borderId="0" xfId="0" applyNumberFormat="1" applyFont="1" applyFill="1" applyProtection="1"/>
    <xf numFmtId="0" fontId="5" fillId="9" borderId="0" xfId="0" applyFont="1" applyFill="1" applyBorder="1" applyAlignment="1" applyProtection="1"/>
    <xf numFmtId="0" fontId="16" fillId="9" borderId="49" xfId="0" applyFont="1" applyFill="1" applyBorder="1"/>
    <xf numFmtId="0" fontId="9" fillId="9" borderId="49" xfId="0" applyFont="1" applyFill="1" applyBorder="1" applyProtection="1"/>
    <xf numFmtId="0" fontId="17" fillId="9" borderId="49" xfId="0" applyFont="1" applyFill="1" applyBorder="1" applyAlignment="1" applyProtection="1">
      <alignment horizontal="right"/>
      <protection locked="0"/>
    </xf>
    <xf numFmtId="5" fontId="9" fillId="9" borderId="49" xfId="0" applyNumberFormat="1" applyFont="1" applyFill="1" applyBorder="1" applyProtection="1"/>
    <xf numFmtId="5" fontId="17" fillId="9" borderId="49" xfId="0" applyNumberFormat="1" applyFont="1" applyFill="1" applyBorder="1" applyAlignment="1" applyProtection="1">
      <protection locked="0"/>
    </xf>
    <xf numFmtId="5" fontId="3" fillId="9" borderId="49" xfId="0" applyNumberFormat="1" applyFont="1" applyFill="1" applyBorder="1" applyAlignment="1" applyProtection="1">
      <protection locked="0"/>
    </xf>
    <xf numFmtId="5" fontId="5" fillId="9" borderId="49" xfId="0" applyNumberFormat="1" applyFont="1" applyFill="1" applyBorder="1" applyProtection="1"/>
    <xf numFmtId="5" fontId="24" fillId="9" borderId="49" xfId="0" applyNumberFormat="1" applyFont="1" applyFill="1" applyBorder="1" applyAlignment="1" applyProtection="1">
      <protection locked="0"/>
    </xf>
    <xf numFmtId="5" fontId="60" fillId="9" borderId="49" xfId="0" applyNumberFormat="1" applyFont="1" applyFill="1" applyBorder="1" applyProtection="1"/>
    <xf numFmtId="0" fontId="43" fillId="9" borderId="49" xfId="0" applyFont="1" applyFill="1" applyBorder="1" applyAlignment="1" applyProtection="1">
      <alignment horizontal="right"/>
    </xf>
    <xf numFmtId="167" fontId="43" fillId="9" borderId="49" xfId="5" applyNumberFormat="1" applyFont="1" applyFill="1" applyBorder="1" applyAlignment="1" applyProtection="1">
      <alignment horizontal="right"/>
    </xf>
    <xf numFmtId="7" fontId="17" fillId="9" borderId="49" xfId="0" applyNumberFormat="1" applyFont="1" applyFill="1" applyBorder="1" applyAlignment="1" applyProtection="1">
      <protection locked="0"/>
    </xf>
    <xf numFmtId="37" fontId="9" fillId="9" borderId="49" xfId="0" applyNumberFormat="1" applyFont="1" applyFill="1" applyBorder="1" applyProtection="1"/>
    <xf numFmtId="169" fontId="9" fillId="9" borderId="49" xfId="2" applyNumberFormat="1" applyFont="1" applyFill="1" applyBorder="1" applyAlignment="1" applyProtection="1">
      <alignment horizontal="right"/>
    </xf>
    <xf numFmtId="169" fontId="9" fillId="9" borderId="49" xfId="2" applyNumberFormat="1" applyFont="1" applyFill="1" applyBorder="1" applyProtection="1"/>
    <xf numFmtId="0" fontId="12" fillId="9" borderId="0" xfId="0" applyFont="1" applyFill="1" applyBorder="1" applyAlignment="1">
      <alignment vertical="center"/>
    </xf>
    <xf numFmtId="0" fontId="5" fillId="9" borderId="0" xfId="0" applyFont="1" applyFill="1" applyBorder="1" applyAlignment="1" applyProtection="1">
      <alignment horizontal="left"/>
    </xf>
    <xf numFmtId="164" fontId="5" fillId="9" borderId="0" xfId="0" applyNumberFormat="1" applyFont="1" applyFill="1" applyBorder="1" applyAlignment="1" applyProtection="1">
      <alignment horizontal="left"/>
    </xf>
    <xf numFmtId="0" fontId="9" fillId="9" borderId="0" xfId="0" applyFont="1" applyFill="1" applyBorder="1" applyAlignment="1" applyProtection="1">
      <alignment horizontal="centerContinuous"/>
    </xf>
    <xf numFmtId="0" fontId="13" fillId="9" borderId="0" xfId="0" applyFont="1" applyFill="1" applyBorder="1"/>
    <xf numFmtId="37" fontId="13" fillId="9" borderId="0" xfId="0" applyNumberFormat="1" applyFont="1" applyFill="1" applyBorder="1"/>
    <xf numFmtId="0" fontId="13" fillId="9" borderId="0" xfId="0" applyFont="1" applyFill="1" applyBorder="1" applyAlignment="1" applyProtection="1">
      <alignment horizontal="left"/>
    </xf>
    <xf numFmtId="0" fontId="13" fillId="9" borderId="0" xfId="0" applyFont="1" applyFill="1" applyBorder="1" applyProtection="1"/>
    <xf numFmtId="0" fontId="0" fillId="9" borderId="0" xfId="0" applyFill="1" applyBorder="1"/>
    <xf numFmtId="168" fontId="5" fillId="9" borderId="0" xfId="0" applyNumberFormat="1" applyFont="1" applyFill="1" applyBorder="1" applyProtection="1"/>
    <xf numFmtId="0" fontId="0" fillId="9" borderId="0" xfId="0" applyFill="1"/>
    <xf numFmtId="0" fontId="16" fillId="9" borderId="0" xfId="0" applyFont="1" applyFill="1" applyBorder="1" applyAlignment="1">
      <alignment horizontal="center"/>
    </xf>
    <xf numFmtId="173" fontId="0" fillId="9" borderId="0" xfId="0" applyNumberFormat="1" applyFill="1"/>
    <xf numFmtId="10" fontId="19" fillId="9" borderId="0" xfId="9" applyNumberFormat="1" applyFont="1" applyFill="1" applyBorder="1"/>
    <xf numFmtId="0" fontId="16" fillId="9" borderId="0" xfId="0" applyFont="1" applyFill="1" applyBorder="1" applyAlignment="1">
      <alignment wrapText="1"/>
    </xf>
    <xf numFmtId="9" fontId="13" fillId="9" borderId="0" xfId="9" applyFont="1" applyFill="1" applyBorder="1"/>
    <xf numFmtId="0" fontId="13" fillId="9" borderId="0" xfId="0" applyFont="1" applyFill="1" applyBorder="1" applyAlignment="1" applyProtection="1">
      <alignment horizontal="centerContinuous"/>
    </xf>
    <xf numFmtId="0" fontId="13" fillId="9" borderId="0" xfId="0" applyFont="1" applyFill="1" applyBorder="1" applyAlignment="1" applyProtection="1">
      <alignment horizontal="center"/>
    </xf>
    <xf numFmtId="0" fontId="62" fillId="9" borderId="0" xfId="0" applyFont="1" applyFill="1" applyBorder="1"/>
    <xf numFmtId="0" fontId="61" fillId="9" borderId="12" xfId="0" applyFont="1" applyFill="1" applyBorder="1"/>
    <xf numFmtId="0" fontId="49" fillId="9" borderId="17" xfId="0" applyFont="1" applyFill="1" applyBorder="1"/>
    <xf numFmtId="0" fontId="3" fillId="9" borderId="17" xfId="0" applyFont="1" applyFill="1" applyBorder="1"/>
    <xf numFmtId="0" fontId="3" fillId="9" borderId="18" xfId="0" applyFont="1" applyFill="1" applyBorder="1"/>
    <xf numFmtId="0" fontId="49" fillId="9" borderId="11" xfId="0" applyFont="1" applyFill="1" applyBorder="1"/>
    <xf numFmtId="0" fontId="49" fillId="9" borderId="0" xfId="0" applyFont="1" applyFill="1" applyBorder="1"/>
    <xf numFmtId="0" fontId="3" fillId="9" borderId="0" xfId="0" applyFont="1" applyFill="1" applyBorder="1"/>
    <xf numFmtId="0" fontId="3" fillId="9" borderId="13" xfId="0" applyFont="1" applyFill="1" applyBorder="1"/>
    <xf numFmtId="0" fontId="3" fillId="9" borderId="11" xfId="0" applyFont="1" applyFill="1" applyBorder="1"/>
    <xf numFmtId="0" fontId="12" fillId="9" borderId="0" xfId="0" applyFont="1" applyFill="1" applyBorder="1"/>
    <xf numFmtId="0" fontId="26" fillId="9" borderId="11" xfId="0" applyFont="1" applyFill="1" applyBorder="1"/>
    <xf numFmtId="17" fontId="3" fillId="9" borderId="8" xfId="0" applyNumberFormat="1" applyFont="1" applyFill="1" applyBorder="1" applyAlignment="1">
      <alignment horizontal="center" wrapText="1"/>
    </xf>
    <xf numFmtId="0" fontId="3" fillId="9" borderId="8" xfId="0" applyFont="1" applyFill="1" applyBorder="1" applyAlignment="1">
      <alignment horizontal="center"/>
    </xf>
    <xf numFmtId="0" fontId="3" fillId="9" borderId="24" xfId="0" applyFont="1" applyFill="1" applyBorder="1" applyAlignment="1">
      <alignment horizontal="center" wrapText="1"/>
    </xf>
    <xf numFmtId="168" fontId="3" fillId="9" borderId="0" xfId="8" applyNumberFormat="1" applyFont="1" applyFill="1" applyBorder="1" applyAlignment="1">
      <alignment horizontal="center"/>
    </xf>
    <xf numFmtId="168" fontId="3" fillId="9" borderId="13" xfId="8" applyNumberFormat="1" applyFont="1" applyFill="1" applyBorder="1" applyAlignment="1">
      <alignment horizontal="center"/>
    </xf>
    <xf numFmtId="168" fontId="3" fillId="9" borderId="46" xfId="8" applyNumberFormat="1" applyFont="1" applyFill="1" applyBorder="1" applyAlignment="1">
      <alignment horizontal="center"/>
    </xf>
    <xf numFmtId="168" fontId="3" fillId="9" borderId="47" xfId="8" applyNumberFormat="1" applyFont="1" applyFill="1" applyBorder="1" applyAlignment="1">
      <alignment horizontal="center"/>
    </xf>
    <xf numFmtId="0" fontId="3" fillId="9" borderId="0" xfId="0" applyFont="1" applyFill="1" applyBorder="1" applyAlignment="1">
      <alignment horizontal="center"/>
    </xf>
    <xf numFmtId="0" fontId="3" fillId="9" borderId="11" xfId="0" applyFont="1" applyFill="1" applyBorder="1" applyAlignment="1">
      <alignment horizontal="right"/>
    </xf>
    <xf numFmtId="0" fontId="26" fillId="9" borderId="11" xfId="0" applyFont="1" applyFill="1" applyBorder="1" applyAlignment="1">
      <alignment horizontal="left"/>
    </xf>
    <xf numFmtId="10" fontId="3" fillId="9" borderId="0" xfId="0" applyNumberFormat="1" applyFont="1" applyFill="1" applyBorder="1"/>
    <xf numFmtId="0" fontId="24" fillId="9" borderId="11" xfId="0" applyFont="1" applyFill="1" applyBorder="1" applyAlignment="1">
      <alignment horizontal="left"/>
    </xf>
    <xf numFmtId="10" fontId="3" fillId="9" borderId="0" xfId="9" applyNumberFormat="1" applyFont="1" applyFill="1" applyBorder="1"/>
    <xf numFmtId="0" fontId="3" fillId="9" borderId="14" xfId="0" applyFont="1" applyFill="1" applyBorder="1"/>
    <xf numFmtId="0" fontId="3" fillId="9" borderId="15" xfId="0" applyFont="1" applyFill="1" applyBorder="1"/>
    <xf numFmtId="0" fontId="3" fillId="9" borderId="16" xfId="0" applyFont="1" applyFill="1" applyBorder="1"/>
    <xf numFmtId="0" fontId="3" fillId="9" borderId="0" xfId="0" applyFont="1" applyFill="1"/>
    <xf numFmtId="168" fontId="3" fillId="9" borderId="0" xfId="8" applyNumberFormat="1" applyFont="1" applyFill="1"/>
    <xf numFmtId="168" fontId="3" fillId="9" borderId="0" xfId="0" applyNumberFormat="1" applyFont="1" applyFill="1"/>
    <xf numFmtId="168" fontId="16" fillId="9" borderId="0" xfId="2" applyNumberFormat="1" applyFont="1" applyFill="1" applyBorder="1"/>
    <xf numFmtId="168" fontId="16" fillId="9" borderId="0" xfId="0" applyNumberFormat="1" applyFont="1" applyFill="1" applyBorder="1"/>
    <xf numFmtId="44" fontId="16" fillId="9" borderId="0" xfId="0" applyNumberFormat="1" applyFont="1" applyFill="1" applyBorder="1"/>
    <xf numFmtId="3" fontId="13" fillId="9" borderId="0" xfId="0" applyNumberFormat="1" applyFont="1" applyFill="1" applyBorder="1"/>
    <xf numFmtId="169" fontId="13" fillId="9" borderId="0" xfId="0" applyNumberFormat="1" applyFont="1" applyFill="1" applyBorder="1" applyAlignment="1" applyProtection="1">
      <alignment horizontal="centerContinuous"/>
    </xf>
    <xf numFmtId="1" fontId="13" fillId="9" borderId="0" xfId="0" applyNumberFormat="1" applyFont="1" applyFill="1" applyBorder="1" applyAlignment="1" applyProtection="1">
      <alignment horizontal="center"/>
    </xf>
    <xf numFmtId="1" fontId="13" fillId="9" borderId="0" xfId="0" applyNumberFormat="1" applyFont="1" applyFill="1" applyBorder="1" applyAlignment="1">
      <alignment horizontal="center"/>
    </xf>
    <xf numFmtId="164" fontId="13" fillId="9" borderId="0" xfId="0" applyNumberFormat="1" applyFont="1" applyFill="1" applyBorder="1" applyAlignment="1" applyProtection="1">
      <alignment horizontal="center"/>
    </xf>
    <xf numFmtId="0" fontId="43" fillId="9" borderId="0" xfId="0" applyFont="1" applyFill="1" applyBorder="1"/>
    <xf numFmtId="0" fontId="5" fillId="9" borderId="0" xfId="0" applyFont="1" applyFill="1" applyBorder="1" applyAlignment="1" applyProtection="1">
      <alignment horizontal="right"/>
    </xf>
    <xf numFmtId="5" fontId="5" fillId="9" borderId="0" xfId="0" applyNumberFormat="1" applyFont="1" applyFill="1" applyBorder="1" applyProtection="1"/>
    <xf numFmtId="0" fontId="16" fillId="9" borderId="9" xfId="0" applyFont="1" applyFill="1" applyBorder="1" applyAlignment="1">
      <alignment horizontal="center"/>
    </xf>
    <xf numFmtId="0" fontId="16" fillId="9" borderId="44" xfId="0" applyFont="1" applyFill="1" applyBorder="1" applyAlignment="1">
      <alignment horizontal="center"/>
    </xf>
    <xf numFmtId="0" fontId="25" fillId="9" borderId="0" xfId="4" applyFont="1" applyFill="1" applyBorder="1" applyAlignment="1">
      <alignment horizontal="center"/>
    </xf>
    <xf numFmtId="0" fontId="12" fillId="9" borderId="0" xfId="0" applyFont="1" applyFill="1" applyBorder="1" applyAlignment="1">
      <alignment horizontal="right"/>
    </xf>
    <xf numFmtId="37" fontId="16" fillId="9" borderId="0" xfId="1" applyNumberFormat="1" applyFont="1" applyFill="1" applyBorder="1" applyAlignment="1">
      <alignment horizontal="center"/>
    </xf>
    <xf numFmtId="0" fontId="5" fillId="0" borderId="49" xfId="0" applyFont="1" applyFill="1" applyBorder="1" applyAlignment="1" applyProtection="1">
      <alignment horizontal="left"/>
    </xf>
    <xf numFmtId="0" fontId="9" fillId="0" borderId="49" xfId="0" applyFont="1" applyFill="1" applyBorder="1" applyAlignment="1" applyProtection="1">
      <alignment horizontal="centerContinuous"/>
    </xf>
    <xf numFmtId="0" fontId="16" fillId="0" borderId="49" xfId="0" applyFont="1" applyFill="1" applyBorder="1"/>
    <xf numFmtId="10" fontId="17" fillId="0" borderId="49" xfId="0" applyNumberFormat="1" applyFont="1" applyFill="1" applyBorder="1"/>
    <xf numFmtId="3" fontId="16" fillId="5" borderId="49" xfId="0" applyNumberFormat="1" applyFont="1" applyFill="1" applyBorder="1" applyAlignment="1">
      <alignment horizontal="center"/>
    </xf>
    <xf numFmtId="0" fontId="9" fillId="5" borderId="49" xfId="0" applyFont="1" applyFill="1" applyBorder="1" applyAlignment="1" applyProtection="1">
      <alignment horizontal="left"/>
    </xf>
    <xf numFmtId="9" fontId="16" fillId="5" borderId="49" xfId="0" applyNumberFormat="1" applyFont="1" applyFill="1" applyBorder="1" applyAlignment="1">
      <alignment horizontal="center"/>
    </xf>
    <xf numFmtId="3" fontId="13" fillId="5" borderId="49" xfId="0" applyNumberFormat="1" applyFont="1" applyFill="1" applyBorder="1" applyAlignment="1">
      <alignment horizontal="center"/>
    </xf>
    <xf numFmtId="169" fontId="9" fillId="0" borderId="49" xfId="0" applyNumberFormat="1" applyFont="1" applyFill="1" applyBorder="1" applyAlignment="1" applyProtection="1">
      <alignment horizontal="centerContinuous"/>
    </xf>
    <xf numFmtId="3" fontId="12" fillId="0" borderId="49" xfId="0" applyNumberFormat="1" applyFont="1" applyFill="1" applyBorder="1" applyAlignment="1">
      <alignment horizontal="center"/>
    </xf>
    <xf numFmtId="0" fontId="12" fillId="0" borderId="49" xfId="0" applyFont="1" applyFill="1" applyBorder="1"/>
    <xf numFmtId="3" fontId="25" fillId="0" borderId="49" xfId="0" applyNumberFormat="1" applyFont="1" applyFill="1" applyBorder="1"/>
    <xf numFmtId="0" fontId="16" fillId="0" borderId="49" xfId="0" applyFont="1" applyBorder="1"/>
    <xf numFmtId="3" fontId="12" fillId="0" borderId="49" xfId="0" applyNumberFormat="1" applyFont="1" applyFill="1" applyBorder="1"/>
    <xf numFmtId="0" fontId="9" fillId="0" borderId="49" xfId="0" applyFont="1" applyFill="1" applyBorder="1" applyProtection="1"/>
    <xf numFmtId="0" fontId="14" fillId="0" borderId="49" xfId="0" applyFont="1" applyFill="1" applyBorder="1" applyAlignment="1" applyProtection="1">
      <alignment horizontal="center"/>
    </xf>
    <xf numFmtId="0" fontId="9" fillId="0" borderId="49" xfId="0" applyFont="1" applyFill="1" applyBorder="1" applyAlignment="1" applyProtection="1">
      <alignment horizontal="right"/>
    </xf>
    <xf numFmtId="0" fontId="9" fillId="0" borderId="49" xfId="0" applyFont="1" applyFill="1" applyBorder="1" applyAlignment="1" applyProtection="1">
      <alignment horizontal="center"/>
    </xf>
    <xf numFmtId="1" fontId="9" fillId="0" borderId="49" xfId="0" applyNumberFormat="1" applyFont="1" applyFill="1" applyBorder="1" applyAlignment="1" applyProtection="1">
      <alignment horizontal="center"/>
    </xf>
    <xf numFmtId="0" fontId="5" fillId="0" borderId="49" xfId="0" applyFont="1" applyFill="1" applyBorder="1" applyAlignment="1" applyProtection="1">
      <alignment horizontal="right"/>
    </xf>
    <xf numFmtId="164" fontId="5" fillId="0" borderId="49" xfId="0" applyNumberFormat="1" applyFont="1" applyFill="1" applyBorder="1" applyAlignment="1" applyProtection="1">
      <alignment horizontal="center"/>
    </xf>
    <xf numFmtId="164" fontId="9" fillId="0" borderId="49" xfId="0" applyNumberFormat="1" applyFont="1" applyFill="1" applyBorder="1" applyAlignment="1" applyProtection="1">
      <alignment horizontal="center"/>
    </xf>
    <xf numFmtId="168" fontId="16" fillId="5" borderId="49" xfId="2" applyNumberFormat="1" applyFont="1" applyFill="1" applyBorder="1"/>
    <xf numFmtId="164" fontId="5" fillId="9" borderId="0" xfId="0" applyNumberFormat="1" applyFont="1" applyFill="1" applyBorder="1" applyAlignment="1" applyProtection="1">
      <alignment horizontal="center"/>
    </xf>
    <xf numFmtId="0" fontId="5" fillId="9" borderId="0" xfId="0" applyFont="1" applyFill="1" applyBorder="1" applyAlignment="1" applyProtection="1">
      <alignment horizontal="center"/>
    </xf>
    <xf numFmtId="168" fontId="16" fillId="5" borderId="49" xfId="2" applyNumberFormat="1" applyFont="1" applyFill="1" applyBorder="1" applyAlignment="1">
      <alignment horizontal="center"/>
    </xf>
    <xf numFmtId="0" fontId="16" fillId="0" borderId="49" xfId="0" applyFont="1" applyFill="1" applyBorder="1" applyAlignment="1">
      <alignment horizontal="center"/>
    </xf>
    <xf numFmtId="3" fontId="16" fillId="0" borderId="49" xfId="0" applyNumberFormat="1" applyFont="1" applyFill="1" applyBorder="1" applyAlignment="1">
      <alignment horizontal="center"/>
    </xf>
    <xf numFmtId="3" fontId="16" fillId="9" borderId="49" xfId="0" applyNumberFormat="1" applyFont="1" applyFill="1" applyBorder="1" applyAlignment="1">
      <alignment horizontal="center"/>
    </xf>
    <xf numFmtId="3" fontId="16" fillId="5" borderId="52" xfId="0" applyNumberFormat="1" applyFont="1" applyFill="1" applyBorder="1" applyAlignment="1">
      <alignment horizontal="center"/>
    </xf>
    <xf numFmtId="168" fontId="16" fillId="5" borderId="52" xfId="2" applyNumberFormat="1" applyFont="1" applyFill="1" applyBorder="1"/>
    <xf numFmtId="168" fontId="16" fillId="5" borderId="52" xfId="2" applyNumberFormat="1" applyFont="1" applyFill="1" applyBorder="1" applyAlignment="1">
      <alignment horizontal="center"/>
    </xf>
    <xf numFmtId="44" fontId="16" fillId="5" borderId="49" xfId="2" applyNumberFormat="1" applyFont="1" applyFill="1" applyBorder="1" applyAlignment="1">
      <alignment horizontal="center"/>
    </xf>
    <xf numFmtId="168" fontId="16" fillId="5" borderId="49" xfId="2" applyNumberFormat="1" applyFont="1" applyFill="1" applyBorder="1" applyAlignment="1">
      <alignment horizontal="right"/>
    </xf>
    <xf numFmtId="44" fontId="16" fillId="5" borderId="49" xfId="2" applyFont="1" applyFill="1" applyBorder="1" applyAlignment="1">
      <alignment horizontal="right"/>
    </xf>
    <xf numFmtId="168" fontId="16" fillId="9" borderId="49" xfId="2" applyNumberFormat="1" applyFont="1" applyFill="1" applyBorder="1" applyAlignment="1">
      <alignment horizontal="right"/>
    </xf>
    <xf numFmtId="5" fontId="9" fillId="0" borderId="49" xfId="0" applyNumberFormat="1" applyFont="1" applyFill="1" applyBorder="1" applyAlignment="1" applyProtection="1">
      <alignment horizontal="right"/>
    </xf>
    <xf numFmtId="0" fontId="5" fillId="0" borderId="53" xfId="0" applyFont="1" applyFill="1" applyBorder="1" applyAlignment="1" applyProtection="1">
      <alignment horizontal="left"/>
    </xf>
    <xf numFmtId="0" fontId="5" fillId="0" borderId="54" xfId="0" applyFont="1" applyFill="1" applyBorder="1" applyAlignment="1" applyProtection="1">
      <alignment horizontal="left"/>
    </xf>
    <xf numFmtId="0" fontId="9" fillId="0" borderId="54" xfId="0" applyFont="1" applyFill="1" applyBorder="1" applyAlignment="1" applyProtection="1">
      <alignment horizontal="centerContinuous"/>
    </xf>
    <xf numFmtId="169" fontId="9" fillId="0" borderId="54" xfId="0" applyNumberFormat="1" applyFont="1" applyFill="1" applyBorder="1" applyAlignment="1" applyProtection="1">
      <alignment horizontal="centerContinuous"/>
    </xf>
    <xf numFmtId="3" fontId="12" fillId="0" borderId="54" xfId="0" applyNumberFormat="1" applyFont="1" applyFill="1" applyBorder="1"/>
    <xf numFmtId="0" fontId="16" fillId="0" borderId="55" xfId="0" applyFont="1" applyFill="1" applyBorder="1"/>
    <xf numFmtId="0" fontId="9" fillId="0" borderId="56" xfId="0" applyFont="1" applyFill="1" applyBorder="1" applyProtection="1"/>
    <xf numFmtId="3" fontId="19" fillId="0" borderId="57" xfId="0" applyNumberFormat="1" applyFont="1" applyFill="1" applyBorder="1" applyAlignment="1">
      <alignment horizontal="center" wrapText="1"/>
    </xf>
    <xf numFmtId="0" fontId="9" fillId="0" borderId="56" xfId="0" applyFont="1" applyFill="1" applyBorder="1" applyAlignment="1" applyProtection="1">
      <alignment horizontal="right"/>
    </xf>
    <xf numFmtId="3" fontId="16" fillId="5" borderId="57" xfId="0" applyNumberFormat="1" applyFont="1" applyFill="1" applyBorder="1" applyAlignment="1">
      <alignment horizontal="center"/>
    </xf>
    <xf numFmtId="3" fontId="13" fillId="5" borderId="57" xfId="0" applyNumberFormat="1" applyFont="1" applyFill="1" applyBorder="1" applyAlignment="1">
      <alignment horizontal="center"/>
    </xf>
    <xf numFmtId="0" fontId="5" fillId="0" borderId="56" xfId="0" applyFont="1" applyFill="1" applyBorder="1" applyAlignment="1" applyProtection="1">
      <alignment horizontal="right"/>
    </xf>
    <xf numFmtId="0" fontId="16" fillId="0" borderId="57" xfId="0" applyFont="1" applyFill="1" applyBorder="1"/>
    <xf numFmtId="0" fontId="5" fillId="0" borderId="58" xfId="0" applyFont="1" applyFill="1" applyBorder="1" applyAlignment="1" applyProtection="1">
      <alignment horizontal="right"/>
    </xf>
    <xf numFmtId="0" fontId="5" fillId="0" borderId="59" xfId="0" applyFont="1" applyFill="1" applyBorder="1" applyAlignment="1" applyProtection="1">
      <alignment horizontal="right"/>
    </xf>
    <xf numFmtId="164" fontId="5" fillId="0" borderId="59" xfId="0" applyNumberFormat="1" applyFont="1" applyFill="1" applyBorder="1" applyAlignment="1" applyProtection="1">
      <alignment horizontal="center"/>
    </xf>
    <xf numFmtId="0" fontId="5" fillId="0" borderId="59" xfId="0" applyFont="1" applyFill="1" applyBorder="1" applyAlignment="1" applyProtection="1">
      <alignment horizontal="center"/>
    </xf>
    <xf numFmtId="3" fontId="12" fillId="0" borderId="60" xfId="0" applyNumberFormat="1" applyFont="1" applyFill="1" applyBorder="1" applyAlignment="1">
      <alignment horizontal="center"/>
    </xf>
    <xf numFmtId="0" fontId="16" fillId="0" borderId="54" xfId="0" applyFont="1" applyFill="1" applyBorder="1"/>
    <xf numFmtId="0" fontId="28" fillId="0" borderId="54" xfId="0" applyFont="1" applyFill="1" applyBorder="1" applyAlignment="1">
      <alignment horizontal="center" wrapText="1"/>
    </xf>
    <xf numFmtId="0" fontId="28" fillId="0" borderId="55" xfId="0" applyFont="1" applyFill="1" applyBorder="1" applyAlignment="1">
      <alignment horizontal="center" wrapText="1"/>
    </xf>
    <xf numFmtId="10" fontId="17" fillId="0" borderId="56" xfId="0" applyNumberFormat="1" applyFont="1" applyFill="1" applyBorder="1"/>
    <xf numFmtId="3" fontId="28" fillId="0" borderId="57" xfId="0" applyNumberFormat="1" applyFont="1" applyFill="1" applyBorder="1" applyAlignment="1">
      <alignment horizontal="center"/>
    </xf>
    <xf numFmtId="169" fontId="9" fillId="0" borderId="56" xfId="0" applyNumberFormat="1" applyFont="1" applyFill="1" applyBorder="1" applyAlignment="1" applyProtection="1">
      <alignment horizontal="centerContinuous"/>
    </xf>
    <xf numFmtId="3" fontId="25" fillId="0" borderId="57" xfId="0" applyNumberFormat="1" applyFont="1" applyFill="1" applyBorder="1" applyAlignment="1">
      <alignment horizontal="center"/>
    </xf>
    <xf numFmtId="0" fontId="5" fillId="0" borderId="56" xfId="0" applyFont="1" applyFill="1" applyBorder="1" applyAlignment="1" applyProtection="1">
      <alignment horizontal="left"/>
    </xf>
    <xf numFmtId="9" fontId="12" fillId="0" borderId="57" xfId="5" applyFont="1" applyFill="1" applyBorder="1"/>
    <xf numFmtId="0" fontId="16" fillId="0" borderId="56" xfId="0" applyFont="1" applyBorder="1"/>
    <xf numFmtId="0" fontId="16" fillId="0" borderId="57" xfId="0" applyFont="1" applyBorder="1"/>
    <xf numFmtId="0" fontId="16" fillId="0" borderId="58" xfId="0" applyFont="1" applyBorder="1"/>
    <xf numFmtId="0" fontId="16" fillId="0" borderId="59" xfId="0" applyFont="1" applyBorder="1"/>
    <xf numFmtId="0" fontId="16" fillId="0" borderId="60" xfId="0" applyFont="1" applyBorder="1"/>
    <xf numFmtId="0" fontId="6" fillId="5" borderId="56" xfId="0" applyFont="1" applyFill="1" applyBorder="1" applyAlignment="1" applyProtection="1">
      <alignment horizontal="right"/>
    </xf>
    <xf numFmtId="0" fontId="9" fillId="5" borderId="56" xfId="0" applyFont="1" applyFill="1" applyBorder="1" applyAlignment="1" applyProtection="1">
      <alignment horizontal="right"/>
    </xf>
    <xf numFmtId="0" fontId="9" fillId="9" borderId="56" xfId="0" applyFont="1" applyFill="1" applyBorder="1" applyAlignment="1" applyProtection="1">
      <alignment horizontal="right"/>
    </xf>
    <xf numFmtId="3" fontId="16" fillId="5" borderId="68" xfId="0" applyNumberFormat="1" applyFont="1" applyFill="1" applyBorder="1" applyAlignment="1">
      <alignment horizontal="center"/>
    </xf>
    <xf numFmtId="3" fontId="16" fillId="5" borderId="56" xfId="0" applyNumberFormat="1" applyFont="1" applyFill="1" applyBorder="1" applyAlignment="1">
      <alignment horizontal="center"/>
    </xf>
    <xf numFmtId="0" fontId="16" fillId="9" borderId="64" xfId="0" applyFont="1" applyFill="1" applyBorder="1"/>
    <xf numFmtId="0" fontId="25" fillId="9" borderId="64" xfId="4" applyFont="1" applyFill="1" applyBorder="1" applyAlignment="1">
      <alignment horizontal="center"/>
    </xf>
    <xf numFmtId="0" fontId="0" fillId="9" borderId="64" xfId="0" applyFill="1" applyBorder="1"/>
    <xf numFmtId="10" fontId="43" fillId="9" borderId="65" xfId="5" applyNumberFormat="1" applyFont="1" applyFill="1" applyBorder="1" applyAlignment="1">
      <alignment horizontal="center"/>
    </xf>
    <xf numFmtId="5" fontId="9" fillId="9" borderId="69" xfId="0" applyNumberFormat="1" applyFont="1" applyFill="1" applyBorder="1" applyProtection="1"/>
    <xf numFmtId="0" fontId="16" fillId="9" borderId="70" xfId="0" applyFont="1" applyFill="1" applyBorder="1" applyAlignment="1">
      <alignment vertical="center"/>
    </xf>
    <xf numFmtId="0" fontId="5" fillId="9" borderId="70" xfId="0" applyFont="1" applyFill="1" applyBorder="1" applyAlignment="1" applyProtection="1">
      <alignment horizontal="right" vertical="center"/>
    </xf>
    <xf numFmtId="168" fontId="5" fillId="9" borderId="71" xfId="2" applyNumberFormat="1" applyFont="1" applyFill="1" applyBorder="1" applyAlignment="1" applyProtection="1">
      <alignment vertical="center"/>
    </xf>
    <xf numFmtId="168" fontId="16" fillId="5" borderId="50" xfId="2" applyNumberFormat="1" applyFont="1" applyFill="1" applyBorder="1" applyAlignment="1">
      <alignment horizontal="center"/>
    </xf>
    <xf numFmtId="0" fontId="16" fillId="9" borderId="72" xfId="0" applyFont="1" applyFill="1" applyBorder="1"/>
    <xf numFmtId="0" fontId="9" fillId="0" borderId="49" xfId="0" applyFont="1" applyFill="1" applyBorder="1" applyAlignment="1" applyProtection="1">
      <alignment horizontal="center" wrapText="1"/>
    </xf>
    <xf numFmtId="37" fontId="9" fillId="0" borderId="49" xfId="0" applyNumberFormat="1" applyFont="1" applyFill="1" applyBorder="1" applyAlignment="1" applyProtection="1">
      <alignment horizontal="center"/>
    </xf>
    <xf numFmtId="7" fontId="9" fillId="0" borderId="49" xfId="0" applyNumberFormat="1" applyFont="1" applyFill="1" applyBorder="1" applyAlignment="1" applyProtection="1">
      <alignment horizontal="center"/>
    </xf>
    <xf numFmtId="5" fontId="9" fillId="0" borderId="49" xfId="0" applyNumberFormat="1" applyFont="1" applyFill="1" applyBorder="1" applyAlignment="1" applyProtection="1">
      <alignment horizontal="center"/>
    </xf>
    <xf numFmtId="37" fontId="9" fillId="0" borderId="49" xfId="0" applyNumberFormat="1" applyFont="1" applyFill="1" applyBorder="1" applyAlignment="1" applyProtection="1">
      <alignment horizontal="right"/>
    </xf>
    <xf numFmtId="7" fontId="6" fillId="0" borderId="49" xfId="0" applyNumberFormat="1" applyFont="1" applyFill="1" applyBorder="1" applyAlignment="1" applyProtection="1">
      <alignment horizontal="left"/>
    </xf>
    <xf numFmtId="0" fontId="6" fillId="0" borderId="49" xfId="0" applyFont="1" applyFill="1" applyBorder="1" applyAlignment="1" applyProtection="1">
      <alignment horizontal="left"/>
    </xf>
    <xf numFmtId="168" fontId="16" fillId="0" borderId="49" xfId="2" applyNumberFormat="1" applyFont="1" applyFill="1" applyBorder="1" applyAlignment="1">
      <alignment horizontal="center"/>
    </xf>
    <xf numFmtId="5" fontId="5" fillId="0" borderId="49" xfId="0" applyNumberFormat="1" applyFont="1" applyFill="1" applyBorder="1" applyProtection="1"/>
    <xf numFmtId="0" fontId="5" fillId="0" borderId="53" xfId="0" applyFont="1" applyFill="1" applyBorder="1" applyProtection="1"/>
    <xf numFmtId="0" fontId="5" fillId="0" borderId="54" xfId="0" applyFont="1" applyFill="1" applyBorder="1" applyProtection="1"/>
    <xf numFmtId="37" fontId="9" fillId="0" borderId="54" xfId="0" applyNumberFormat="1" applyFont="1" applyFill="1" applyBorder="1" applyProtection="1"/>
    <xf numFmtId="0" fontId="9" fillId="9" borderId="55" xfId="0" applyFont="1" applyFill="1" applyBorder="1" applyProtection="1"/>
    <xf numFmtId="0" fontId="9" fillId="0" borderId="56" xfId="0" applyFont="1" applyFill="1" applyBorder="1" applyAlignment="1" applyProtection="1">
      <alignment wrapText="1"/>
    </xf>
    <xf numFmtId="0" fontId="16" fillId="9" borderId="57" xfId="0" applyFont="1" applyFill="1" applyBorder="1" applyAlignment="1">
      <alignment wrapText="1"/>
    </xf>
    <xf numFmtId="0" fontId="16" fillId="9" borderId="57" xfId="0" applyFont="1" applyFill="1" applyBorder="1"/>
    <xf numFmtId="0" fontId="9" fillId="0" borderId="56" xfId="0" applyFont="1" applyFill="1" applyBorder="1" applyAlignment="1" applyProtection="1">
      <alignment horizontal="right" wrapText="1"/>
    </xf>
    <xf numFmtId="0" fontId="16" fillId="0" borderId="56" xfId="0" applyFont="1" applyFill="1" applyBorder="1"/>
    <xf numFmtId="10" fontId="10" fillId="9" borderId="57" xfId="0" applyNumberFormat="1" applyFont="1" applyFill="1" applyBorder="1" applyAlignment="1" applyProtection="1">
      <alignment horizontal="right"/>
    </xf>
    <xf numFmtId="0" fontId="16" fillId="0" borderId="58" xfId="0" applyFont="1" applyFill="1" applyBorder="1"/>
    <xf numFmtId="0" fontId="16" fillId="0" borderId="59" xfId="0" applyFont="1" applyFill="1" applyBorder="1"/>
    <xf numFmtId="0" fontId="9" fillId="0" borderId="59" xfId="0" applyFont="1" applyFill="1" applyBorder="1" applyProtection="1"/>
    <xf numFmtId="0" fontId="5" fillId="9" borderId="60" xfId="0" applyFont="1" applyFill="1" applyBorder="1" applyAlignment="1" applyProtection="1">
      <alignment horizontal="right"/>
    </xf>
    <xf numFmtId="0" fontId="16" fillId="9" borderId="53" xfId="0" applyFont="1" applyFill="1" applyBorder="1"/>
    <xf numFmtId="0" fontId="15" fillId="9" borderId="54" xfId="0" applyFont="1" applyFill="1" applyBorder="1" applyAlignment="1" applyProtection="1">
      <alignment horizontal="center"/>
    </xf>
    <xf numFmtId="0" fontId="24" fillId="9" borderId="54" xfId="0" applyFont="1" applyFill="1" applyBorder="1" applyAlignment="1" applyProtection="1">
      <alignment horizontal="center"/>
      <protection locked="0"/>
    </xf>
    <xf numFmtId="10" fontId="30" fillId="9" borderId="55" xfId="0" applyNumberFormat="1" applyFont="1" applyFill="1" applyBorder="1" applyAlignment="1" applyProtection="1">
      <alignment horizontal="center"/>
    </xf>
    <xf numFmtId="0" fontId="7" fillId="9" borderId="56" xfId="0" applyFont="1" applyFill="1" applyBorder="1" applyProtection="1"/>
    <xf numFmtId="10" fontId="44" fillId="9" borderId="57" xfId="0" applyNumberFormat="1" applyFont="1" applyFill="1" applyBorder="1" applyAlignment="1" applyProtection="1">
      <alignment horizontal="right"/>
    </xf>
    <xf numFmtId="0" fontId="6" fillId="9" borderId="56" xfId="0" applyFont="1" applyFill="1" applyBorder="1" applyAlignment="1" applyProtection="1">
      <alignment horizontal="left" indent="1"/>
    </xf>
    <xf numFmtId="0" fontId="9" fillId="9" borderId="56" xfId="0" applyFont="1" applyFill="1" applyBorder="1" applyAlignment="1" applyProtection="1">
      <alignment horizontal="left" indent="1"/>
    </xf>
    <xf numFmtId="10" fontId="30" fillId="9" borderId="57" xfId="0" applyNumberFormat="1" applyFont="1" applyFill="1" applyBorder="1" applyAlignment="1" applyProtection="1">
      <alignment horizontal="right"/>
    </xf>
    <xf numFmtId="0" fontId="60" fillId="9" borderId="56" xfId="0" applyFont="1" applyFill="1" applyBorder="1" applyAlignment="1" applyProtection="1">
      <alignment horizontal="right"/>
    </xf>
    <xf numFmtId="0" fontId="43" fillId="9" borderId="56" xfId="0" applyFont="1" applyFill="1" applyBorder="1" applyAlignment="1" applyProtection="1">
      <alignment horizontal="right"/>
    </xf>
    <xf numFmtId="169" fontId="43" fillId="9" borderId="57" xfId="2" applyNumberFormat="1" applyFont="1" applyFill="1" applyBorder="1" applyAlignment="1" applyProtection="1">
      <alignment horizontal="right"/>
    </xf>
    <xf numFmtId="10" fontId="10" fillId="9" borderId="57" xfId="0" applyNumberFormat="1" applyFont="1" applyFill="1" applyBorder="1" applyProtection="1"/>
    <xf numFmtId="10" fontId="44" fillId="9" borderId="57" xfId="0" applyNumberFormat="1" applyFont="1" applyFill="1" applyBorder="1" applyProtection="1"/>
    <xf numFmtId="10" fontId="6" fillId="9" borderId="56" xfId="0" applyNumberFormat="1" applyFont="1" applyFill="1" applyBorder="1" applyAlignment="1" applyProtection="1">
      <alignment horizontal="left" indent="1"/>
    </xf>
    <xf numFmtId="0" fontId="6" fillId="9" borderId="56" xfId="0" applyNumberFormat="1" applyFont="1" applyFill="1" applyBorder="1" applyAlignment="1" applyProtection="1">
      <alignment horizontal="left" indent="1"/>
    </xf>
    <xf numFmtId="0" fontId="22" fillId="9" borderId="56" xfId="0" applyFont="1" applyFill="1" applyBorder="1" applyAlignment="1" applyProtection="1">
      <alignment horizontal="left" indent="1"/>
    </xf>
    <xf numFmtId="0" fontId="12" fillId="9" borderId="0" xfId="0" applyFont="1" applyFill="1" applyBorder="1" applyAlignment="1">
      <alignment horizontal="left"/>
    </xf>
    <xf numFmtId="0" fontId="6" fillId="9" borderId="3" xfId="0" applyFont="1" applyFill="1" applyBorder="1" applyAlignment="1" applyProtection="1">
      <alignment horizontal="center"/>
    </xf>
    <xf numFmtId="0" fontId="6" fillId="9" borderId="3" xfId="0" applyFont="1" applyFill="1" applyBorder="1" applyAlignment="1" applyProtection="1">
      <alignment horizontal="left"/>
    </xf>
    <xf numFmtId="0" fontId="6" fillId="9" borderId="48" xfId="0" applyFont="1" applyFill="1" applyBorder="1" applyAlignment="1" applyProtection="1">
      <alignment horizontal="left"/>
    </xf>
    <xf numFmtId="37" fontId="6" fillId="9" borderId="3" xfId="0" applyNumberFormat="1" applyFont="1" applyFill="1" applyBorder="1" applyAlignment="1" applyProtection="1">
      <alignment horizontal="center"/>
    </xf>
    <xf numFmtId="3" fontId="12" fillId="9" borderId="0" xfId="11" applyFont="1" applyFill="1" applyBorder="1" applyAlignment="1" applyProtection="1">
      <alignment horizontal="center" wrapText="1"/>
    </xf>
    <xf numFmtId="3" fontId="12" fillId="9" borderId="0" xfId="11" quotePrefix="1" applyFont="1" applyFill="1" applyBorder="1" applyAlignment="1" applyProtection="1">
      <alignment horizontal="center" wrapText="1"/>
    </xf>
    <xf numFmtId="3" fontId="12" fillId="9" borderId="13" xfId="11" applyFont="1" applyFill="1" applyBorder="1" applyAlignment="1" applyProtection="1">
      <alignment horizontal="center" wrapText="1"/>
    </xf>
    <xf numFmtId="3" fontId="12" fillId="9" borderId="0" xfId="11" applyFont="1" applyFill="1" applyBorder="1" applyAlignment="1" applyProtection="1">
      <alignment horizontal="center" vertical="center" wrapText="1"/>
    </xf>
    <xf numFmtId="3" fontId="12" fillId="9" borderId="0" xfId="11" applyFont="1" applyFill="1" applyAlignment="1">
      <alignment horizontal="left" vertical="center"/>
    </xf>
    <xf numFmtId="3" fontId="13" fillId="9" borderId="0" xfId="11" applyFont="1" applyFill="1" applyBorder="1" applyAlignment="1" applyProtection="1">
      <alignment horizontal="center" vertical="center" wrapText="1"/>
    </xf>
    <xf numFmtId="3" fontId="13" fillId="9" borderId="0" xfId="11" applyFont="1" applyFill="1" applyBorder="1" applyAlignment="1" applyProtection="1">
      <alignment horizontal="center" wrapText="1"/>
    </xf>
    <xf numFmtId="3" fontId="13" fillId="9" borderId="0" xfId="11" applyFont="1" applyFill="1" applyAlignment="1" applyProtection="1">
      <alignment horizontal="left" vertical="center"/>
    </xf>
    <xf numFmtId="3" fontId="13" fillId="9" borderId="0" xfId="11" applyFont="1" applyFill="1" applyAlignment="1">
      <alignment horizontal="left" vertical="center"/>
    </xf>
    <xf numFmtId="0" fontId="7" fillId="9" borderId="0" xfId="0" applyFont="1" applyFill="1" applyBorder="1" applyAlignment="1" applyProtection="1">
      <alignment vertical="center"/>
    </xf>
    <xf numFmtId="3" fontId="25" fillId="9" borderId="0" xfId="11" applyFont="1" applyFill="1" applyBorder="1" applyAlignment="1">
      <alignment horizontal="left" vertical="center"/>
    </xf>
    <xf numFmtId="3" fontId="28" fillId="9" borderId="0" xfId="11" applyFont="1" applyFill="1" applyBorder="1" applyAlignment="1">
      <alignment horizontal="left" vertical="center"/>
    </xf>
    <xf numFmtId="5" fontId="28" fillId="9" borderId="0" xfId="11" applyNumberFormat="1" applyFont="1" applyFill="1" applyBorder="1" applyAlignment="1">
      <alignment horizontal="left" vertical="center"/>
    </xf>
    <xf numFmtId="3" fontId="28" fillId="9" borderId="0" xfId="11" applyFont="1" applyFill="1" applyAlignment="1">
      <alignment horizontal="left" vertical="center"/>
    </xf>
    <xf numFmtId="3" fontId="28" fillId="9" borderId="0" xfId="11" applyFont="1" applyFill="1" applyBorder="1" applyAlignment="1" applyProtection="1">
      <alignment horizontal="left" vertical="center"/>
    </xf>
    <xf numFmtId="167" fontId="52" fillId="9" borderId="0" xfId="11" applyNumberFormat="1" applyFont="1" applyFill="1" applyBorder="1" applyAlignment="1" applyProtection="1">
      <alignment horizontal="left" vertical="center"/>
    </xf>
    <xf numFmtId="41" fontId="28" fillId="9" borderId="0" xfId="17" applyNumberFormat="1" applyFont="1" applyFill="1" applyBorder="1" applyAlignment="1" applyProtection="1">
      <alignment horizontal="right" vertical="center"/>
    </xf>
    <xf numFmtId="41" fontId="28" fillId="9" borderId="0" xfId="17" applyNumberFormat="1" applyFont="1" applyFill="1" applyBorder="1" applyAlignment="1">
      <alignment horizontal="left" vertical="center"/>
    </xf>
    <xf numFmtId="41" fontId="28" fillId="9" borderId="0" xfId="17" applyNumberFormat="1" applyFont="1" applyFill="1" applyBorder="1" applyAlignment="1">
      <alignment horizontal="right" vertical="center"/>
    </xf>
    <xf numFmtId="41" fontId="28" fillId="9" borderId="33" xfId="17" applyNumberFormat="1" applyFont="1" applyFill="1" applyBorder="1" applyAlignment="1">
      <alignment horizontal="right" vertical="center"/>
    </xf>
    <xf numFmtId="3" fontId="28" fillId="9" borderId="0" xfId="17" applyFont="1" applyFill="1" applyBorder="1" applyAlignment="1">
      <alignment horizontal="left" vertical="center"/>
    </xf>
    <xf numFmtId="3" fontId="28" fillId="9" borderId="0" xfId="17" applyFont="1" applyFill="1" applyAlignment="1">
      <alignment horizontal="left" vertical="center"/>
    </xf>
    <xf numFmtId="3" fontId="52" fillId="9" borderId="0" xfId="11" applyFont="1" applyFill="1" applyBorder="1" applyAlignment="1" applyProtection="1">
      <alignment horizontal="right" vertical="center"/>
    </xf>
    <xf numFmtId="10" fontId="42" fillId="9" borderId="0" xfId="15" applyNumberFormat="1" applyFont="1" applyFill="1" applyBorder="1" applyAlignment="1">
      <alignment horizontal="left" vertical="center"/>
      <protection locked="0"/>
    </xf>
    <xf numFmtId="41" fontId="28" fillId="9" borderId="33" xfId="17" applyNumberFormat="1" applyFont="1" applyFill="1" applyBorder="1" applyAlignment="1" applyProtection="1">
      <alignment horizontal="right" vertical="center"/>
    </xf>
    <xf numFmtId="3" fontId="28" fillId="9" borderId="0" xfId="17" applyFont="1" applyFill="1" applyBorder="1" applyAlignment="1">
      <alignment horizontal="left" vertical="center" indent="1"/>
    </xf>
    <xf numFmtId="10" fontId="28" fillId="9" borderId="0" xfId="20" applyNumberFormat="1" applyFont="1" applyFill="1" applyBorder="1" applyAlignment="1" applyProtection="1">
      <alignment horizontal="center" vertical="center"/>
    </xf>
    <xf numFmtId="41" fontId="38" fillId="9" borderId="0" xfId="11" applyNumberFormat="1" applyFont="1" applyFill="1" applyBorder="1" applyAlignment="1">
      <alignment horizontal="right" vertical="center"/>
    </xf>
    <xf numFmtId="37" fontId="28" fillId="9" borderId="0" xfId="17" applyNumberFormat="1" applyFont="1" applyFill="1" applyAlignment="1">
      <alignment horizontal="right" vertical="center"/>
    </xf>
    <xf numFmtId="37" fontId="28" fillId="9" borderId="0" xfId="17" applyNumberFormat="1" applyFont="1" applyFill="1" applyAlignment="1">
      <alignment horizontal="left" vertical="center"/>
    </xf>
    <xf numFmtId="3" fontId="25" fillId="9" borderId="0" xfId="17" applyFont="1" applyFill="1" applyBorder="1" applyAlignment="1">
      <alignment horizontal="left" vertical="center"/>
    </xf>
    <xf numFmtId="5" fontId="28" fillId="9" borderId="0" xfId="17" applyNumberFormat="1" applyFont="1" applyFill="1" applyBorder="1" applyAlignment="1" applyProtection="1">
      <alignment horizontal="right" vertical="center"/>
    </xf>
    <xf numFmtId="5" fontId="28" fillId="9" borderId="0" xfId="17" applyNumberFormat="1" applyFont="1" applyFill="1" applyBorder="1" applyAlignment="1">
      <alignment horizontal="left" vertical="center"/>
    </xf>
    <xf numFmtId="3" fontId="28" fillId="9" borderId="11" xfId="17" applyFont="1" applyFill="1" applyBorder="1" applyAlignment="1">
      <alignment horizontal="left" vertical="center"/>
    </xf>
    <xf numFmtId="0" fontId="7" fillId="9" borderId="0" xfId="0" applyFont="1" applyFill="1" applyBorder="1" applyProtection="1"/>
    <xf numFmtId="6" fontId="12" fillId="11" borderId="0" xfId="21" applyNumberFormat="1" applyFont="1" applyFill="1" applyBorder="1" applyAlignment="1">
      <alignment vertical="center"/>
    </xf>
    <xf numFmtId="6" fontId="13" fillId="5" borderId="49" xfId="21" applyNumberFormat="1" applyFont="1" applyFill="1" applyBorder="1" applyAlignment="1">
      <alignment vertical="center"/>
    </xf>
    <xf numFmtId="41" fontId="13" fillId="11" borderId="73" xfId="17" applyNumberFormat="1" applyFont="1" applyFill="1" applyBorder="1" applyAlignment="1" applyProtection="1">
      <alignment horizontal="left" vertical="center"/>
    </xf>
    <xf numFmtId="41" fontId="13" fillId="11" borderId="31" xfId="17" applyNumberFormat="1" applyFont="1" applyFill="1" applyBorder="1" applyAlignment="1" applyProtection="1">
      <alignment horizontal="left" vertical="center"/>
    </xf>
    <xf numFmtId="6" fontId="12" fillId="11" borderId="0" xfId="17" applyNumberFormat="1" applyFont="1" applyFill="1" applyBorder="1" applyAlignment="1">
      <alignment vertical="center"/>
    </xf>
    <xf numFmtId="6" fontId="12" fillId="11" borderId="9" xfId="21" applyNumberFormat="1" applyFont="1" applyFill="1" applyBorder="1" applyAlignment="1">
      <alignment vertical="center"/>
    </xf>
    <xf numFmtId="6" fontId="12" fillId="0" borderId="0" xfId="21" applyNumberFormat="1" applyFont="1" applyFill="1" applyBorder="1" applyAlignment="1">
      <alignment horizontal="right" vertical="center"/>
    </xf>
    <xf numFmtId="6" fontId="13" fillId="0" borderId="49" xfId="21" applyNumberFormat="1" applyFont="1" applyFill="1" applyBorder="1" applyAlignment="1">
      <alignment vertical="center"/>
    </xf>
    <xf numFmtId="174" fontId="13" fillId="5" borderId="49" xfId="19" applyFont="1" applyFill="1" applyBorder="1">
      <alignment horizontal="left" vertical="top" wrapText="1"/>
      <protection locked="0"/>
    </xf>
    <xf numFmtId="174" fontId="66" fillId="0" borderId="0" xfId="19" applyFont="1" applyFill="1" applyBorder="1">
      <alignment horizontal="left" vertical="top" wrapText="1"/>
      <protection locked="0"/>
    </xf>
    <xf numFmtId="3" fontId="13" fillId="0" borderId="0" xfId="16" applyFont="1" applyFill="1" applyBorder="1" applyAlignment="1">
      <alignment vertical="center"/>
    </xf>
    <xf numFmtId="169" fontId="12" fillId="0" borderId="49" xfId="21" applyNumberFormat="1" applyFont="1" applyFill="1" applyBorder="1" applyAlignment="1">
      <alignment horizontal="right" vertical="center"/>
    </xf>
    <xf numFmtId="174" fontId="13" fillId="9" borderId="0" xfId="19" applyFont="1" applyFill="1" applyBorder="1">
      <alignment horizontal="left" vertical="top" wrapText="1"/>
      <protection locked="0"/>
    </xf>
    <xf numFmtId="169" fontId="12" fillId="9" borderId="0" xfId="21" applyNumberFormat="1" applyFont="1" applyFill="1" applyBorder="1" applyAlignment="1">
      <alignment horizontal="right" vertical="center"/>
    </xf>
    <xf numFmtId="6" fontId="12" fillId="9" borderId="0" xfId="21" applyNumberFormat="1" applyFont="1" applyFill="1" applyBorder="1" applyAlignment="1">
      <alignment vertical="center"/>
    </xf>
    <xf numFmtId="169" fontId="13" fillId="9" borderId="0" xfId="21" applyNumberFormat="1" applyFont="1" applyFill="1" applyBorder="1" applyAlignment="1">
      <alignment horizontal="right" vertical="center"/>
    </xf>
    <xf numFmtId="169" fontId="13" fillId="9" borderId="13" xfId="21" applyNumberFormat="1" applyFont="1" applyFill="1" applyBorder="1" applyAlignment="1">
      <alignment horizontal="right" vertical="center"/>
    </xf>
    <xf numFmtId="167" fontId="23" fillId="9" borderId="0" xfId="20" applyNumberFormat="1" applyFont="1" applyFill="1" applyBorder="1" applyAlignment="1" applyProtection="1">
      <alignment horizontal="left" vertical="top" wrapText="1"/>
      <protection locked="0"/>
    </xf>
    <xf numFmtId="6" fontId="12" fillId="11" borderId="9" xfId="21" applyNumberFormat="1" applyFont="1" applyFill="1" applyBorder="1" applyAlignment="1"/>
    <xf numFmtId="6" fontId="12" fillId="11" borderId="44" xfId="21" applyNumberFormat="1" applyFont="1" applyFill="1" applyBorder="1" applyAlignment="1" applyProtection="1">
      <alignment vertical="center"/>
    </xf>
    <xf numFmtId="174" fontId="34" fillId="0" borderId="0" xfId="15" applyFont="1" applyFill="1" applyBorder="1" applyAlignment="1">
      <alignment horizontal="left" vertical="center"/>
      <protection locked="0"/>
    </xf>
    <xf numFmtId="6" fontId="13" fillId="0" borderId="0" xfId="21" applyNumberFormat="1" applyFont="1" applyFill="1" applyBorder="1" applyAlignment="1" applyProtection="1">
      <alignment horizontal="right" vertical="center"/>
    </xf>
    <xf numFmtId="3" fontId="12" fillId="0" borderId="49" xfId="16" applyFont="1" applyFill="1" applyBorder="1" applyAlignment="1"/>
    <xf numFmtId="3" fontId="12" fillId="0" borderId="49" xfId="16" applyFont="1" applyFill="1" applyBorder="1" applyAlignment="1" applyProtection="1">
      <alignment horizontal="center" vertical="center"/>
    </xf>
    <xf numFmtId="3" fontId="12" fillId="0" borderId="0" xfId="16" applyFont="1" applyFill="1" applyBorder="1" applyAlignment="1" applyProtection="1">
      <alignment horizontal="center" vertical="center"/>
    </xf>
    <xf numFmtId="6" fontId="12" fillId="0" borderId="0" xfId="21" applyNumberFormat="1" applyFont="1" applyFill="1" applyBorder="1" applyAlignment="1" applyProtection="1">
      <alignment horizontal="right" vertical="center"/>
    </xf>
    <xf numFmtId="6" fontId="12" fillId="11" borderId="0" xfId="21" applyNumberFormat="1" applyFont="1" applyFill="1" applyBorder="1" applyAlignment="1" applyProtection="1">
      <alignment vertical="center"/>
    </xf>
    <xf numFmtId="6" fontId="13" fillId="11" borderId="0" xfId="21" applyNumberFormat="1" applyFont="1" applyFill="1" applyBorder="1" applyAlignment="1" applyProtection="1">
      <alignment horizontal="right" vertical="center"/>
    </xf>
    <xf numFmtId="6" fontId="13" fillId="11" borderId="13" xfId="21" applyNumberFormat="1" applyFont="1" applyFill="1" applyBorder="1" applyAlignment="1" applyProtection="1">
      <alignment horizontal="right" vertical="center"/>
    </xf>
    <xf numFmtId="6" fontId="12" fillId="11" borderId="9" xfId="21" applyNumberFormat="1" applyFont="1" applyFill="1" applyBorder="1" applyAlignment="1" applyProtection="1">
      <alignment vertical="center"/>
    </xf>
    <xf numFmtId="6" fontId="12" fillId="0" borderId="0" xfId="21" applyNumberFormat="1" applyFont="1" applyFill="1" applyBorder="1" applyAlignment="1">
      <alignment horizontal="center" vertical="center"/>
    </xf>
    <xf numFmtId="6" fontId="12" fillId="0" borderId="49" xfId="21" applyNumberFormat="1" applyFont="1" applyFill="1" applyBorder="1" applyAlignment="1">
      <alignment horizontal="center"/>
    </xf>
    <xf numFmtId="6" fontId="12" fillId="0" borderId="49" xfId="21" applyNumberFormat="1" applyFont="1" applyFill="1" applyBorder="1" applyAlignment="1" applyProtection="1">
      <alignment horizontal="center" vertical="center"/>
    </xf>
    <xf numFmtId="6" fontId="12" fillId="11" borderId="17" xfId="21" applyNumberFormat="1" applyFont="1" applyFill="1" applyBorder="1" applyAlignment="1">
      <alignment vertical="center"/>
    </xf>
    <xf numFmtId="41" fontId="13" fillId="0" borderId="0" xfId="17" applyNumberFormat="1" applyFont="1" applyFill="1" applyBorder="1" applyAlignment="1" applyProtection="1">
      <alignment horizontal="left" vertical="center"/>
    </xf>
    <xf numFmtId="5" fontId="13" fillId="9" borderId="0" xfId="16" applyNumberFormat="1" applyFont="1" applyFill="1" applyBorder="1" applyAlignment="1" applyProtection="1">
      <alignment horizontal="center" vertical="center"/>
    </xf>
    <xf numFmtId="6" fontId="13" fillId="9" borderId="0" xfId="21" applyNumberFormat="1" applyFont="1" applyFill="1" applyBorder="1" applyAlignment="1" applyProtection="1">
      <alignment horizontal="center" vertical="center"/>
    </xf>
    <xf numFmtId="5" fontId="13" fillId="0" borderId="0" xfId="16" applyNumberFormat="1" applyFont="1" applyFill="1" applyBorder="1" applyAlignment="1" applyProtection="1">
      <alignment horizontal="center" vertical="center"/>
    </xf>
    <xf numFmtId="6" fontId="12" fillId="0" borderId="0" xfId="21" applyNumberFormat="1" applyFont="1" applyFill="1" applyBorder="1" applyAlignment="1" applyProtection="1">
      <alignment horizontal="center" vertical="center"/>
    </xf>
    <xf numFmtId="6" fontId="13" fillId="9" borderId="49" xfId="21" applyNumberFormat="1" applyFont="1" applyFill="1" applyBorder="1" applyAlignment="1">
      <alignment vertical="center"/>
    </xf>
    <xf numFmtId="174" fontId="13" fillId="9" borderId="49" xfId="18" applyFont="1" applyFill="1" applyBorder="1" applyAlignment="1">
      <alignment horizontal="left" vertical="top" wrapText="1" indent="1"/>
      <protection locked="0"/>
    </xf>
    <xf numFmtId="41" fontId="13" fillId="9" borderId="0" xfId="17" applyNumberFormat="1" applyFont="1" applyFill="1" applyBorder="1" applyAlignment="1" applyProtection="1">
      <alignment horizontal="left" vertical="center"/>
    </xf>
    <xf numFmtId="3" fontId="13" fillId="9" borderId="0" xfId="11" applyFont="1" applyFill="1" applyAlignment="1" applyProtection="1">
      <alignment horizontal="right" vertical="center"/>
    </xf>
    <xf numFmtId="3" fontId="43" fillId="9" borderId="61" xfId="11" applyFont="1" applyFill="1" applyBorder="1" applyAlignment="1" applyProtection="1">
      <alignment wrapText="1"/>
    </xf>
    <xf numFmtId="3" fontId="12" fillId="9" borderId="62" xfId="11" applyFont="1" applyFill="1" applyBorder="1" applyAlignment="1" applyProtection="1">
      <alignment horizontal="left" wrapText="1"/>
    </xf>
    <xf numFmtId="3" fontId="12" fillId="9" borderId="62" xfId="11" quotePrefix="1" applyFont="1" applyFill="1" applyBorder="1" applyAlignment="1" applyProtection="1">
      <alignment horizontal="center" wrapText="1"/>
    </xf>
    <xf numFmtId="3" fontId="12" fillId="9" borderId="62" xfId="11" applyFont="1" applyFill="1" applyBorder="1" applyAlignment="1" applyProtection="1">
      <alignment horizontal="center" wrapText="1"/>
    </xf>
    <xf numFmtId="3" fontId="12" fillId="9" borderId="63" xfId="11" applyFont="1" applyFill="1" applyBorder="1" applyAlignment="1" applyProtection="1">
      <alignment horizontal="center" wrapText="1"/>
    </xf>
    <xf numFmtId="3" fontId="12" fillId="0" borderId="64" xfId="16" applyFont="1" applyFill="1" applyBorder="1" applyAlignment="1">
      <alignment vertical="center"/>
    </xf>
    <xf numFmtId="6" fontId="12" fillId="0" borderId="65" xfId="17" applyNumberFormat="1" applyFont="1" applyFill="1" applyBorder="1" applyAlignment="1">
      <alignment vertical="center"/>
    </xf>
    <xf numFmtId="174" fontId="13" fillId="5" borderId="56" xfId="18" applyFont="1" applyFill="1" applyBorder="1" applyAlignment="1">
      <alignment horizontal="left" vertical="top" wrapText="1" indent="1"/>
      <protection locked="0"/>
    </xf>
    <xf numFmtId="6" fontId="13" fillId="5" borderId="57" xfId="21" applyNumberFormat="1" applyFont="1" applyFill="1" applyBorder="1" applyAlignment="1">
      <alignment vertical="center"/>
    </xf>
    <xf numFmtId="3" fontId="12" fillId="0" borderId="64" xfId="16" applyFont="1" applyFill="1" applyBorder="1" applyAlignment="1">
      <alignment horizontal="right" vertical="center"/>
    </xf>
    <xf numFmtId="6" fontId="12" fillId="0" borderId="65" xfId="21" applyNumberFormat="1" applyFont="1" applyFill="1" applyBorder="1" applyAlignment="1">
      <alignment vertical="center"/>
    </xf>
    <xf numFmtId="37" fontId="12" fillId="0" borderId="64" xfId="11" applyNumberFormat="1" applyFont="1" applyFill="1" applyBorder="1" applyAlignment="1">
      <alignment vertical="center"/>
    </xf>
    <xf numFmtId="3" fontId="12" fillId="0" borderId="56" xfId="16" applyFont="1" applyFill="1" applyBorder="1" applyAlignment="1">
      <alignment horizontal="left" vertical="center"/>
    </xf>
    <xf numFmtId="6" fontId="12" fillId="5" borderId="57" xfId="21" applyNumberFormat="1" applyFont="1" applyFill="1" applyBorder="1" applyAlignment="1">
      <alignment vertical="center"/>
    </xf>
    <xf numFmtId="6" fontId="12" fillId="9" borderId="65" xfId="21" applyNumberFormat="1" applyFont="1" applyFill="1" applyBorder="1" applyAlignment="1">
      <alignment vertical="center"/>
    </xf>
    <xf numFmtId="3" fontId="12" fillId="0" borderId="56" xfId="16" applyFont="1" applyFill="1" applyBorder="1" applyAlignment="1">
      <alignment horizontal="left"/>
    </xf>
    <xf numFmtId="6" fontId="12" fillId="0" borderId="57" xfId="21" applyNumberFormat="1" applyFont="1" applyFill="1" applyBorder="1" applyAlignment="1"/>
    <xf numFmtId="3" fontId="12" fillId="0" borderId="56" xfId="16" applyFont="1" applyFill="1" applyBorder="1" applyAlignment="1" applyProtection="1">
      <alignment horizontal="left" vertical="center"/>
    </xf>
    <xf numFmtId="6" fontId="12" fillId="0" borderId="57" xfId="21" applyNumberFormat="1" applyFont="1" applyFill="1" applyBorder="1" applyAlignment="1" applyProtection="1">
      <alignment vertical="center"/>
    </xf>
    <xf numFmtId="3" fontId="12" fillId="0" borderId="64" xfId="16" applyFont="1" applyFill="1" applyBorder="1" applyAlignment="1" applyProtection="1">
      <alignment horizontal="left" vertical="center"/>
    </xf>
    <xf numFmtId="6" fontId="12" fillId="0" borderId="65" xfId="21" applyNumberFormat="1" applyFont="1" applyFill="1" applyBorder="1" applyAlignment="1" applyProtection="1">
      <alignment vertical="center"/>
    </xf>
    <xf numFmtId="3" fontId="12" fillId="0" borderId="64" xfId="11" applyFont="1" applyFill="1" applyBorder="1" applyAlignment="1" applyProtection="1">
      <alignment horizontal="left" vertical="center"/>
    </xf>
    <xf numFmtId="3" fontId="12" fillId="0" borderId="64" xfId="16" applyFont="1" applyFill="1" applyBorder="1" applyAlignment="1" applyProtection="1">
      <alignment horizontal="right" vertical="center"/>
    </xf>
    <xf numFmtId="3" fontId="12" fillId="9" borderId="64" xfId="16" applyFont="1" applyFill="1" applyBorder="1" applyAlignment="1" applyProtection="1">
      <alignment horizontal="right" vertical="center"/>
    </xf>
    <xf numFmtId="6" fontId="12" fillId="9" borderId="65" xfId="21" applyNumberFormat="1" applyFont="1" applyFill="1" applyBorder="1" applyAlignment="1" applyProtection="1">
      <alignment vertical="center"/>
    </xf>
    <xf numFmtId="3" fontId="12" fillId="0" borderId="75" xfId="16" applyFont="1" applyFill="1" applyBorder="1" applyAlignment="1" applyProtection="1">
      <alignment horizontal="right" vertical="center"/>
    </xf>
    <xf numFmtId="5" fontId="13" fillId="0" borderId="76" xfId="16" applyNumberFormat="1" applyFont="1" applyFill="1" applyBorder="1" applyAlignment="1" applyProtection="1">
      <alignment horizontal="center" vertical="center"/>
    </xf>
    <xf numFmtId="6" fontId="12" fillId="0" borderId="76" xfId="21" applyNumberFormat="1" applyFont="1" applyFill="1" applyBorder="1" applyAlignment="1" applyProtection="1">
      <alignment horizontal="center" vertical="center"/>
    </xf>
    <xf numFmtId="6" fontId="12" fillId="0" borderId="77" xfId="21" applyNumberFormat="1" applyFont="1" applyFill="1" applyBorder="1" applyAlignment="1" applyProtection="1">
      <alignment vertical="center"/>
    </xf>
    <xf numFmtId="6" fontId="12" fillId="9" borderId="65" xfId="17" applyNumberFormat="1" applyFont="1" applyFill="1" applyBorder="1" applyAlignment="1">
      <alignment vertical="center"/>
    </xf>
    <xf numFmtId="6" fontId="13" fillId="9" borderId="57" xfId="21" applyNumberFormat="1" applyFont="1" applyFill="1" applyBorder="1" applyAlignment="1">
      <alignment vertical="center"/>
    </xf>
    <xf numFmtId="6" fontId="12" fillId="9" borderId="65" xfId="21" applyNumberFormat="1" applyFont="1" applyFill="1" applyBorder="1" applyAlignment="1"/>
    <xf numFmtId="174" fontId="34" fillId="9" borderId="64" xfId="15" applyFont="1" applyFill="1" applyBorder="1" applyAlignment="1">
      <alignment horizontal="left" vertical="center"/>
      <protection locked="0"/>
    </xf>
    <xf numFmtId="6" fontId="12" fillId="9" borderId="78" xfId="21" applyNumberFormat="1" applyFont="1" applyFill="1" applyBorder="1" applyAlignment="1" applyProtection="1">
      <alignment vertical="center"/>
    </xf>
    <xf numFmtId="0" fontId="16" fillId="9" borderId="73" xfId="0" applyFont="1" applyFill="1" applyBorder="1" applyAlignment="1">
      <alignment horizontal="center"/>
    </xf>
    <xf numFmtId="0" fontId="5" fillId="9" borderId="71" xfId="0" applyFont="1" applyFill="1" applyBorder="1" applyAlignment="1" applyProtection="1">
      <alignment horizontal="right"/>
    </xf>
    <xf numFmtId="0" fontId="59" fillId="9" borderId="65" xfId="0" applyFont="1" applyFill="1" applyBorder="1" applyAlignment="1">
      <alignment horizontal="left"/>
    </xf>
    <xf numFmtId="174" fontId="13" fillId="9" borderId="56" xfId="18" applyFont="1" applyFill="1" applyBorder="1" applyAlignment="1">
      <alignment horizontal="right" vertical="top" wrapText="1" indent="1"/>
      <protection locked="0"/>
    </xf>
    <xf numFmtId="0" fontId="26" fillId="9" borderId="0" xfId="0" applyFont="1" applyFill="1" applyBorder="1" applyAlignment="1">
      <alignment horizontal="center" vertical="center"/>
    </xf>
    <xf numFmtId="0" fontId="26" fillId="9" borderId="13" xfId="0" applyFont="1" applyFill="1" applyBorder="1" applyAlignment="1">
      <alignment horizontal="center" vertical="center"/>
    </xf>
    <xf numFmtId="6" fontId="13" fillId="9" borderId="74" xfId="21" applyNumberFormat="1" applyFont="1" applyFill="1" applyBorder="1" applyAlignment="1">
      <alignment vertical="center"/>
    </xf>
    <xf numFmtId="174" fontId="13" fillId="5" borderId="50" xfId="19" applyFont="1" applyFill="1" applyBorder="1">
      <alignment horizontal="left" vertical="top" wrapText="1"/>
      <protection locked="0"/>
    </xf>
    <xf numFmtId="174" fontId="13" fillId="9" borderId="79" xfId="18" applyFont="1" applyFill="1" applyBorder="1" applyAlignment="1">
      <alignment horizontal="left" vertical="top" wrapText="1" indent="1"/>
      <protection locked="0"/>
    </xf>
    <xf numFmtId="6" fontId="13" fillId="9" borderId="80" xfId="21" applyNumberFormat="1" applyFont="1" applyFill="1" applyBorder="1" applyAlignment="1">
      <alignment vertical="center"/>
    </xf>
    <xf numFmtId="0" fontId="6" fillId="9" borderId="0" xfId="0" applyFont="1" applyFill="1" applyProtection="1"/>
    <xf numFmtId="0" fontId="5" fillId="9" borderId="0" xfId="0" applyFont="1" applyFill="1" applyAlignment="1" applyProtection="1">
      <alignment horizontal="right"/>
    </xf>
    <xf numFmtId="0" fontId="5" fillId="9" borderId="0" xfId="0" applyFont="1" applyFill="1" applyAlignment="1" applyProtection="1">
      <alignment horizontal="left"/>
    </xf>
    <xf numFmtId="37" fontId="45" fillId="9" borderId="0" xfId="0" applyNumberFormat="1" applyFont="1" applyFill="1" applyAlignment="1" applyProtection="1"/>
    <xf numFmtId="166" fontId="6" fillId="9" borderId="0" xfId="0" applyNumberFormat="1" applyFont="1" applyFill="1" applyProtection="1"/>
    <xf numFmtId="168" fontId="12" fillId="9" borderId="0" xfId="0" quotePrefix="1" applyNumberFormat="1" applyFont="1" applyFill="1" applyBorder="1" applyAlignment="1">
      <alignment horizontal="right"/>
    </xf>
    <xf numFmtId="5" fontId="6" fillId="9" borderId="0" xfId="0" applyNumberFormat="1" applyFont="1" applyFill="1" applyProtection="1"/>
    <xf numFmtId="171" fontId="6" fillId="9" borderId="0" xfId="1" applyNumberFormat="1" applyFont="1" applyFill="1" applyProtection="1"/>
    <xf numFmtId="171" fontId="27" fillId="9" borderId="0" xfId="1" applyNumberFormat="1" applyFont="1" applyFill="1" applyProtection="1"/>
    <xf numFmtId="5" fontId="0" fillId="9" borderId="0" xfId="0" applyNumberFormat="1" applyFill="1"/>
    <xf numFmtId="171" fontId="0" fillId="9" borderId="0" xfId="0" applyNumberFormat="1" applyFill="1"/>
    <xf numFmtId="0" fontId="65" fillId="9" borderId="0" xfId="0" applyFont="1" applyFill="1"/>
    <xf numFmtId="10" fontId="6" fillId="5" borderId="49" xfId="0" applyNumberFormat="1" applyFont="1" applyFill="1" applyBorder="1" applyProtection="1"/>
    <xf numFmtId="0" fontId="0" fillId="5" borderId="49" xfId="0" applyFill="1" applyBorder="1" applyAlignment="1">
      <alignment horizontal="center"/>
    </xf>
    <xf numFmtId="10" fontId="16" fillId="5" borderId="49" xfId="0" applyNumberFormat="1" applyFont="1" applyFill="1" applyBorder="1" applyProtection="1"/>
    <xf numFmtId="37" fontId="9" fillId="0" borderId="49" xfId="0" applyNumberFormat="1" applyFont="1" applyBorder="1" applyProtection="1"/>
    <xf numFmtId="37" fontId="44" fillId="0" borderId="49" xfId="0" applyNumberFormat="1" applyFont="1" applyFill="1" applyBorder="1" applyAlignment="1" applyProtection="1">
      <alignment horizontal="center"/>
    </xf>
    <xf numFmtId="10" fontId="9" fillId="0" borderId="49" xfId="0" applyNumberFormat="1" applyFont="1" applyBorder="1" applyProtection="1"/>
    <xf numFmtId="37" fontId="44" fillId="3" borderId="49" xfId="0" applyNumberFormat="1" applyFont="1" applyFill="1" applyBorder="1" applyAlignment="1" applyProtection="1">
      <alignment horizontal="center"/>
    </xf>
    <xf numFmtId="9" fontId="44" fillId="3" borderId="49" xfId="0" applyNumberFormat="1" applyFont="1" applyFill="1" applyBorder="1" applyAlignment="1" applyProtection="1">
      <alignment horizontal="center"/>
    </xf>
    <xf numFmtId="39" fontId="20" fillId="0" borderId="49" xfId="0" applyNumberFormat="1" applyFont="1" applyBorder="1" applyProtection="1"/>
    <xf numFmtId="10" fontId="20" fillId="0" borderId="49" xfId="0" applyNumberFormat="1" applyFont="1" applyBorder="1" applyProtection="1"/>
    <xf numFmtId="39" fontId="9" fillId="0" borderId="49" xfId="0" applyNumberFormat="1" applyFont="1" applyBorder="1" applyAlignment="1" applyProtection="1">
      <alignment horizontal="left"/>
    </xf>
    <xf numFmtId="0" fontId="0" fillId="0" borderId="49" xfId="0" applyFill="1" applyBorder="1"/>
    <xf numFmtId="37" fontId="6" fillId="0" borderId="53" xfId="0" applyNumberFormat="1" applyFont="1" applyFill="1" applyBorder="1" applyAlignment="1" applyProtection="1">
      <alignment horizontal="right"/>
    </xf>
    <xf numFmtId="37" fontId="6" fillId="0" borderId="56" xfId="0" applyNumberFormat="1" applyFont="1" applyFill="1" applyBorder="1" applyAlignment="1" applyProtection="1">
      <alignment horizontal="right"/>
    </xf>
    <xf numFmtId="0" fontId="13" fillId="0" borderId="56" xfId="0" applyFont="1" applyBorder="1" applyAlignment="1">
      <alignment horizontal="right"/>
    </xf>
    <xf numFmtId="0" fontId="13" fillId="0" borderId="56" xfId="0" applyFont="1" applyFill="1" applyBorder="1" applyAlignment="1">
      <alignment horizontal="right"/>
    </xf>
    <xf numFmtId="49" fontId="6" fillId="5" borderId="57" xfId="0" applyNumberFormat="1" applyFont="1" applyFill="1" applyBorder="1" applyAlignment="1" applyProtection="1">
      <alignment horizontal="center"/>
    </xf>
    <xf numFmtId="37" fontId="5" fillId="0" borderId="53" xfId="0" applyNumberFormat="1" applyFont="1" applyBorder="1" applyProtection="1"/>
    <xf numFmtId="37" fontId="9" fillId="0" borderId="54" xfId="0" applyNumberFormat="1" applyFont="1" applyBorder="1" applyProtection="1"/>
    <xf numFmtId="5" fontId="9" fillId="9" borderId="55" xfId="0" applyNumberFormat="1" applyFont="1" applyFill="1" applyBorder="1" applyProtection="1"/>
    <xf numFmtId="37" fontId="9" fillId="0" borderId="56" xfId="0" applyNumberFormat="1" applyFont="1" applyBorder="1" applyAlignment="1" applyProtection="1">
      <alignment horizontal="left" indent="1"/>
    </xf>
    <xf numFmtId="5" fontId="9" fillId="9" borderId="57" xfId="0" applyNumberFormat="1" applyFont="1" applyFill="1" applyBorder="1" applyProtection="1"/>
    <xf numFmtId="37" fontId="6" fillId="0" borderId="56" xfId="0" applyNumberFormat="1" applyFont="1" applyBorder="1" applyAlignment="1" applyProtection="1">
      <alignment horizontal="left" indent="1"/>
    </xf>
    <xf numFmtId="37" fontId="20" fillId="0" borderId="56" xfId="0" applyNumberFormat="1" applyFont="1" applyBorder="1" applyAlignment="1" applyProtection="1">
      <alignment horizontal="right" indent="1"/>
    </xf>
    <xf numFmtId="5" fontId="20" fillId="9" borderId="57" xfId="0" applyNumberFormat="1" applyFont="1" applyFill="1" applyBorder="1" applyProtection="1"/>
    <xf numFmtId="37" fontId="5" fillId="0" borderId="56" xfId="0" applyNumberFormat="1" applyFont="1" applyBorder="1" applyAlignment="1" applyProtection="1">
      <alignment horizontal="left"/>
    </xf>
    <xf numFmtId="37" fontId="6" fillId="0" borderId="56" xfId="0" applyNumberFormat="1" applyFont="1" applyBorder="1" applyAlignment="1" applyProtection="1">
      <alignment horizontal="left" indent="6"/>
    </xf>
    <xf numFmtId="37" fontId="6" fillId="0" borderId="56" xfId="0" applyNumberFormat="1" applyFont="1" applyFill="1" applyBorder="1" applyAlignment="1" applyProtection="1">
      <alignment horizontal="left" indent="6"/>
    </xf>
    <xf numFmtId="0" fontId="20" fillId="0" borderId="56" xfId="0" applyFont="1" applyBorder="1" applyAlignment="1" applyProtection="1">
      <alignment horizontal="right" indent="1"/>
    </xf>
    <xf numFmtId="37" fontId="5" fillId="0" borderId="56" xfId="0" applyNumberFormat="1" applyFont="1" applyBorder="1" applyAlignment="1" applyProtection="1">
      <alignment horizontal="right" indent="1"/>
    </xf>
    <xf numFmtId="5" fontId="5" fillId="9" borderId="57" xfId="0" applyNumberFormat="1" applyFont="1" applyFill="1" applyBorder="1" applyAlignment="1" applyProtection="1">
      <alignment horizontal="right"/>
    </xf>
    <xf numFmtId="37" fontId="5" fillId="0" borderId="56" xfId="0" applyNumberFormat="1" applyFont="1" applyBorder="1" applyProtection="1"/>
    <xf numFmtId="5" fontId="5" fillId="9" borderId="57" xfId="0" applyNumberFormat="1" applyFont="1" applyFill="1" applyBorder="1" applyProtection="1"/>
    <xf numFmtId="37" fontId="5" fillId="0" borderId="58" xfId="0" applyNumberFormat="1" applyFont="1" applyBorder="1" applyAlignment="1" applyProtection="1">
      <alignment horizontal="left"/>
    </xf>
    <xf numFmtId="0" fontId="0" fillId="0" borderId="59" xfId="0" applyBorder="1"/>
    <xf numFmtId="5" fontId="5" fillId="0" borderId="59" xfId="0" applyNumberFormat="1" applyFont="1" applyBorder="1" applyAlignment="1" applyProtection="1"/>
    <xf numFmtId="5" fontId="5" fillId="9" borderId="60" xfId="0" applyNumberFormat="1" applyFont="1" applyFill="1" applyBorder="1" applyAlignment="1" applyProtection="1"/>
    <xf numFmtId="9" fontId="13" fillId="5" borderId="49" xfId="5" applyFont="1" applyFill="1" applyBorder="1" applyAlignment="1">
      <alignment vertical="center"/>
    </xf>
    <xf numFmtId="10" fontId="6" fillId="9" borderId="49" xfId="0" applyNumberFormat="1" applyFont="1" applyFill="1" applyBorder="1" applyProtection="1"/>
    <xf numFmtId="0" fontId="8" fillId="9" borderId="0" xfId="0" applyFont="1" applyFill="1" applyProtection="1"/>
    <xf numFmtId="0" fontId="5" fillId="9" borderId="0" xfId="0" applyFont="1" applyFill="1" applyProtection="1"/>
    <xf numFmtId="0" fontId="7" fillId="9" borderId="0" xfId="0" applyFont="1" applyFill="1" applyProtection="1"/>
    <xf numFmtId="169" fontId="18" fillId="9" borderId="0" xfId="0" applyNumberFormat="1" applyFont="1" applyFill="1" applyAlignment="1" applyProtection="1">
      <alignment horizontal="centerContinuous"/>
    </xf>
    <xf numFmtId="5" fontId="44" fillId="9" borderId="0" xfId="0" applyNumberFormat="1" applyFont="1" applyFill="1" applyBorder="1" applyAlignment="1" applyProtection="1">
      <alignment horizontal="right"/>
    </xf>
    <xf numFmtId="3" fontId="9" fillId="9" borderId="0" xfId="0" applyNumberFormat="1" applyFont="1" applyFill="1" applyBorder="1" applyProtection="1"/>
    <xf numFmtId="41" fontId="16" fillId="9" borderId="0" xfId="0" applyNumberFormat="1" applyFont="1" applyFill="1" applyBorder="1" applyAlignment="1">
      <alignment horizontal="right"/>
    </xf>
    <xf numFmtId="5" fontId="9" fillId="9" borderId="0" xfId="0" applyNumberFormat="1" applyFont="1" applyFill="1" applyProtection="1"/>
    <xf numFmtId="37" fontId="9" fillId="9" borderId="0" xfId="0" applyNumberFormat="1" applyFont="1" applyFill="1" applyProtection="1"/>
    <xf numFmtId="10" fontId="9" fillId="9" borderId="0" xfId="0" applyNumberFormat="1" applyFont="1" applyFill="1" applyProtection="1"/>
    <xf numFmtId="9" fontId="9" fillId="9" borderId="0" xfId="5" applyFont="1" applyFill="1" applyProtection="1"/>
    <xf numFmtId="167" fontId="9" fillId="9" borderId="0" xfId="0" applyNumberFormat="1" applyFont="1" applyFill="1" applyProtection="1"/>
    <xf numFmtId="0" fontId="9" fillId="9" borderId="0" xfId="0" applyFont="1" applyFill="1" applyAlignment="1" applyProtection="1">
      <alignment horizontal="right"/>
    </xf>
    <xf numFmtId="37" fontId="9" fillId="9" borderId="0" xfId="0" applyNumberFormat="1" applyFont="1" applyFill="1" applyAlignment="1" applyProtection="1">
      <alignment horizontal="right"/>
    </xf>
    <xf numFmtId="169" fontId="44" fillId="9" borderId="0" xfId="0" applyNumberFormat="1" applyFont="1" applyFill="1" applyBorder="1" applyAlignment="1" applyProtection="1">
      <alignment horizontal="left"/>
    </xf>
    <xf numFmtId="9" fontId="9" fillId="9" borderId="0" xfId="0" applyNumberFormat="1" applyFont="1" applyFill="1" applyProtection="1"/>
    <xf numFmtId="39" fontId="9" fillId="9" borderId="0" xfId="0" applyNumberFormat="1" applyFont="1" applyFill="1" applyAlignment="1" applyProtection="1">
      <alignment horizontal="center"/>
    </xf>
    <xf numFmtId="5" fontId="10" fillId="9" borderId="0" xfId="0" applyNumberFormat="1" applyFont="1" applyFill="1" applyBorder="1" applyProtection="1"/>
    <xf numFmtId="0" fontId="44" fillId="9" borderId="0" xfId="0" applyFont="1" applyFill="1" applyBorder="1" applyProtection="1"/>
    <xf numFmtId="0" fontId="22" fillId="9" borderId="0" xfId="0" applyFont="1" applyFill="1" applyBorder="1" applyAlignment="1" applyProtection="1">
      <alignment horizontal="right"/>
    </xf>
    <xf numFmtId="171" fontId="16" fillId="9" borderId="0" xfId="1" applyNumberFormat="1" applyFont="1" applyFill="1"/>
    <xf numFmtId="10" fontId="9" fillId="9" borderId="0" xfId="0" applyNumberFormat="1" applyFont="1" applyFill="1" applyBorder="1" applyProtection="1"/>
    <xf numFmtId="0" fontId="22" fillId="0" borderId="0" xfId="0" applyFont="1" applyBorder="1" applyAlignment="1" applyProtection="1">
      <alignment horizontal="right"/>
    </xf>
    <xf numFmtId="0" fontId="13" fillId="9" borderId="0" xfId="0" applyFont="1" applyFill="1" applyBorder="1" applyAlignment="1">
      <alignment horizontal="left"/>
    </xf>
    <xf numFmtId="0" fontId="7" fillId="9" borderId="0" xfId="0" applyFont="1" applyFill="1" applyBorder="1" applyAlignment="1" applyProtection="1">
      <alignment horizontal="left" vertical="center"/>
    </xf>
    <xf numFmtId="37" fontId="13" fillId="9" borderId="64" xfId="11" applyNumberFormat="1" applyFont="1" applyFill="1" applyBorder="1" applyAlignment="1">
      <alignment horizontal="left" vertical="center"/>
    </xf>
    <xf numFmtId="174" fontId="13" fillId="9" borderId="56" xfId="19" applyFont="1" applyFill="1" applyBorder="1" applyAlignment="1">
      <alignment horizontal="left" vertical="top" wrapText="1"/>
      <protection locked="0"/>
    </xf>
    <xf numFmtId="174" fontId="66" fillId="9" borderId="64" xfId="19" applyFont="1" applyFill="1" applyBorder="1" applyAlignment="1">
      <alignment horizontal="left" vertical="top" wrapText="1"/>
      <protection locked="0"/>
    </xf>
    <xf numFmtId="3" fontId="12" fillId="9" borderId="64" xfId="16" applyFont="1" applyFill="1" applyBorder="1" applyAlignment="1">
      <alignment horizontal="left" vertical="center"/>
    </xf>
    <xf numFmtId="174" fontId="13" fillId="9" borderId="64" xfId="19" applyFont="1" applyFill="1" applyBorder="1" applyAlignment="1">
      <alignment horizontal="left" vertical="top" wrapText="1"/>
      <protection locked="0"/>
    </xf>
    <xf numFmtId="3" fontId="13" fillId="9" borderId="64" xfId="16" applyFont="1" applyFill="1" applyBorder="1" applyAlignment="1">
      <alignment horizontal="left" vertical="center"/>
    </xf>
    <xf numFmtId="3" fontId="12" fillId="9" borderId="64" xfId="16" applyFont="1" applyFill="1" applyBorder="1" applyAlignment="1" applyProtection="1">
      <alignment horizontal="left" vertical="center"/>
    </xf>
    <xf numFmtId="5" fontId="13" fillId="9" borderId="64" xfId="16" applyNumberFormat="1" applyFont="1" applyFill="1" applyBorder="1" applyAlignment="1" applyProtection="1">
      <alignment horizontal="left" vertical="center"/>
    </xf>
    <xf numFmtId="5" fontId="13" fillId="9" borderId="66" xfId="16" applyNumberFormat="1" applyFont="1" applyFill="1" applyBorder="1" applyAlignment="1" applyProtection="1">
      <alignment horizontal="left" vertical="center"/>
    </xf>
    <xf numFmtId="3" fontId="12" fillId="9" borderId="61" xfId="11" applyFont="1" applyFill="1" applyBorder="1" applyAlignment="1" applyProtection="1">
      <alignment horizontal="center" wrapText="1"/>
    </xf>
    <xf numFmtId="0" fontId="14" fillId="9" borderId="0" xfId="0" applyFont="1" applyFill="1" applyBorder="1" applyProtection="1"/>
    <xf numFmtId="10" fontId="44" fillId="9" borderId="0" xfId="5" applyNumberFormat="1" applyFont="1" applyFill="1" applyBorder="1" applyProtection="1"/>
    <xf numFmtId="10" fontId="13" fillId="9" borderId="0" xfId="0" applyNumberFormat="1" applyFont="1" applyFill="1" applyBorder="1" applyProtection="1"/>
    <xf numFmtId="0" fontId="43" fillId="9" borderId="0" xfId="0" applyFont="1" applyFill="1" applyBorder="1" applyAlignment="1">
      <alignment horizontal="center"/>
    </xf>
    <xf numFmtId="2" fontId="44" fillId="9" borderId="0" xfId="0" applyNumberFormat="1" applyFont="1" applyFill="1" applyBorder="1" applyAlignment="1" applyProtection="1">
      <alignment horizontal="center"/>
    </xf>
    <xf numFmtId="5" fontId="9" fillId="9" borderId="0" xfId="0" quotePrefix="1" applyNumberFormat="1" applyFont="1" applyFill="1" applyBorder="1" applyProtection="1"/>
    <xf numFmtId="9" fontId="44" fillId="9" borderId="0" xfId="0" applyNumberFormat="1" applyFont="1" applyFill="1" applyBorder="1" applyAlignment="1" applyProtection="1">
      <alignment horizontal="center"/>
    </xf>
    <xf numFmtId="0" fontId="21" fillId="9" borderId="0" xfId="0" applyFont="1" applyFill="1" applyBorder="1" applyAlignment="1" applyProtection="1"/>
    <xf numFmtId="169" fontId="44" fillId="9" borderId="0" xfId="1" applyNumberFormat="1" applyFont="1" applyFill="1" applyBorder="1" applyProtection="1"/>
    <xf numFmtId="9" fontId="44" fillId="9" borderId="0" xfId="0" applyNumberFormat="1" applyFont="1" applyFill="1" applyBorder="1" applyProtection="1"/>
    <xf numFmtId="0" fontId="10" fillId="9" borderId="0" xfId="0" applyFont="1" applyFill="1" applyBorder="1" applyProtection="1"/>
    <xf numFmtId="9" fontId="44" fillId="9" borderId="0" xfId="5" applyFont="1" applyFill="1" applyBorder="1" applyProtection="1"/>
    <xf numFmtId="0" fontId="7" fillId="9" borderId="81" xfId="0" applyFont="1" applyFill="1" applyBorder="1" applyProtection="1"/>
    <xf numFmtId="0" fontId="43" fillId="9" borderId="0" xfId="0" applyFont="1" applyFill="1" applyBorder="1" applyAlignment="1"/>
    <xf numFmtId="0" fontId="6" fillId="9" borderId="0" xfId="0" applyFont="1" applyFill="1" applyBorder="1" applyAlignment="1" applyProtection="1">
      <alignment horizontal="left"/>
    </xf>
    <xf numFmtId="0" fontId="46" fillId="9" borderId="0" xfId="0" applyFont="1" applyFill="1" applyBorder="1" applyAlignment="1" applyProtection="1">
      <alignment horizontal="left"/>
    </xf>
    <xf numFmtId="0" fontId="6" fillId="9" borderId="0" xfId="0" applyFont="1" applyFill="1" applyBorder="1" applyAlignment="1" applyProtection="1">
      <alignment horizontal="left" indent="1"/>
    </xf>
    <xf numFmtId="0" fontId="30" fillId="9" borderId="0" xfId="0" applyFont="1" applyFill="1" applyBorder="1" applyAlignment="1" applyProtection="1">
      <alignment horizontal="right"/>
    </xf>
    <xf numFmtId="0" fontId="8" fillId="9" borderId="0" xfId="0" applyFont="1" applyFill="1" applyBorder="1" applyProtection="1"/>
    <xf numFmtId="172" fontId="43" fillId="9" borderId="0" xfId="0" applyNumberFormat="1" applyFont="1" applyFill="1" applyBorder="1"/>
    <xf numFmtId="41" fontId="43" fillId="9" borderId="0" xfId="0" applyNumberFormat="1" applyFont="1" applyFill="1" applyBorder="1" applyAlignment="1">
      <alignment horizontal="left"/>
    </xf>
    <xf numFmtId="41" fontId="43" fillId="0" borderId="0" xfId="0" applyNumberFormat="1" applyFont="1" applyFill="1" applyBorder="1" applyAlignment="1">
      <alignment horizontal="right"/>
    </xf>
    <xf numFmtId="9" fontId="43" fillId="9" borderId="0" xfId="0" applyNumberFormat="1" applyFont="1" applyFill="1" applyBorder="1" applyAlignment="1">
      <alignment horizontal="left"/>
    </xf>
    <xf numFmtId="7" fontId="30" fillId="9" borderId="0" xfId="0" applyNumberFormat="1" applyFont="1" applyFill="1" applyBorder="1" applyProtection="1"/>
    <xf numFmtId="0" fontId="30" fillId="9" borderId="0" xfId="0" applyFont="1" applyFill="1" applyBorder="1" applyProtection="1"/>
    <xf numFmtId="10" fontId="9" fillId="9" borderId="0" xfId="5" applyNumberFormat="1" applyFont="1" applyFill="1" applyBorder="1" applyProtection="1"/>
    <xf numFmtId="169" fontId="16" fillId="9" borderId="0" xfId="0" applyNumberFormat="1" applyFont="1" applyFill="1" applyAlignment="1">
      <alignment horizontal="right"/>
    </xf>
    <xf numFmtId="169" fontId="9" fillId="9" borderId="0" xfId="0" applyNumberFormat="1" applyFont="1" applyFill="1" applyAlignment="1" applyProtection="1">
      <alignment horizontal="right"/>
    </xf>
    <xf numFmtId="168" fontId="5" fillId="0" borderId="0" xfId="2" applyNumberFormat="1" applyFont="1" applyFill="1" applyBorder="1" applyAlignment="1" applyProtection="1">
      <alignment horizontal="right"/>
    </xf>
    <xf numFmtId="0" fontId="21" fillId="9" borderId="0" xfId="0" applyFont="1" applyFill="1" applyBorder="1" applyAlignment="1" applyProtection="1">
      <alignment horizontal="right"/>
    </xf>
    <xf numFmtId="174" fontId="13" fillId="9" borderId="0" xfId="19" applyFont="1" applyFill="1" applyBorder="1" applyAlignment="1">
      <alignment horizontal="right" vertical="top" wrapText="1"/>
      <protection locked="0"/>
    </xf>
    <xf numFmtId="41" fontId="16" fillId="0" borderId="0" xfId="0" applyNumberFormat="1" applyFont="1" applyFill="1" applyBorder="1" applyAlignment="1">
      <alignment horizontal="right"/>
    </xf>
    <xf numFmtId="41" fontId="9" fillId="9" borderId="0" xfId="0" applyNumberFormat="1" applyFont="1" applyFill="1" applyBorder="1" applyAlignment="1" applyProtection="1">
      <alignment horizontal="right"/>
    </xf>
    <xf numFmtId="0" fontId="43" fillId="9" borderId="0" xfId="0" applyFont="1" applyFill="1" applyAlignment="1">
      <alignment horizontal="right"/>
    </xf>
    <xf numFmtId="0" fontId="30" fillId="9" borderId="0" xfId="0" applyFont="1" applyFill="1" applyAlignment="1" applyProtection="1">
      <alignment horizontal="right"/>
    </xf>
    <xf numFmtId="41" fontId="44" fillId="9" borderId="0" xfId="0" applyNumberFormat="1" applyFont="1" applyFill="1" applyBorder="1" applyAlignment="1" applyProtection="1">
      <alignment horizontal="right"/>
    </xf>
    <xf numFmtId="0" fontId="44" fillId="9" borderId="0" xfId="0" applyFont="1" applyFill="1" applyBorder="1" applyAlignment="1" applyProtection="1">
      <alignment horizontal="right"/>
    </xf>
    <xf numFmtId="168" fontId="15" fillId="0" borderId="0" xfId="2" applyNumberFormat="1" applyFont="1" applyFill="1" applyBorder="1" applyAlignment="1" applyProtection="1">
      <alignment horizontal="right"/>
    </xf>
    <xf numFmtId="168" fontId="30" fillId="9" borderId="0" xfId="2" applyNumberFormat="1" applyFont="1" applyFill="1" applyBorder="1" applyAlignment="1" applyProtection="1">
      <alignment horizontal="right"/>
    </xf>
    <xf numFmtId="176" fontId="43" fillId="9" borderId="0" xfId="0" applyNumberFormat="1" applyFont="1" applyFill="1" applyAlignment="1">
      <alignment horizontal="right"/>
    </xf>
    <xf numFmtId="0" fontId="43" fillId="0" borderId="0" xfId="0" applyFont="1" applyAlignment="1">
      <alignment horizontal="right"/>
    </xf>
    <xf numFmtId="169" fontId="5" fillId="9" borderId="0" xfId="0" applyNumberFormat="1" applyFont="1" applyFill="1" applyBorder="1" applyAlignment="1" applyProtection="1">
      <alignment horizontal="center"/>
    </xf>
    <xf numFmtId="0" fontId="13" fillId="9" borderId="0" xfId="0" applyFont="1" applyFill="1" applyAlignment="1">
      <alignment horizontal="center"/>
    </xf>
    <xf numFmtId="0" fontId="15" fillId="9" borderId="0" xfId="0" applyFont="1" applyFill="1" applyBorder="1" applyAlignment="1" applyProtection="1">
      <alignment horizontal="center"/>
    </xf>
    <xf numFmtId="169" fontId="5" fillId="0" borderId="0" xfId="0" applyNumberFormat="1" applyFont="1" applyFill="1" applyBorder="1" applyAlignment="1" applyProtection="1">
      <alignment horizontal="right"/>
    </xf>
    <xf numFmtId="169" fontId="15" fillId="0" borderId="0" xfId="0" applyNumberFormat="1" applyFont="1" applyFill="1" applyBorder="1" applyAlignment="1" applyProtection="1">
      <alignment horizontal="right"/>
    </xf>
    <xf numFmtId="9" fontId="13" fillId="5" borderId="49" xfId="5" applyFont="1" applyFill="1" applyBorder="1" applyAlignment="1" applyProtection="1">
      <alignment horizontal="right" vertical="top" wrapText="1"/>
      <protection locked="0"/>
    </xf>
    <xf numFmtId="0" fontId="3" fillId="9" borderId="0" xfId="0" applyFont="1" applyFill="1" applyAlignment="1">
      <alignment horizontal="right"/>
    </xf>
    <xf numFmtId="0" fontId="3" fillId="9" borderId="0" xfId="0" applyFont="1" applyFill="1" applyAlignment="1">
      <alignment horizontal="center"/>
    </xf>
    <xf numFmtId="41" fontId="3" fillId="9" borderId="0" xfId="0" applyNumberFormat="1" applyFont="1" applyFill="1" applyBorder="1"/>
    <xf numFmtId="0" fontId="10" fillId="9" borderId="0" xfId="0" applyFont="1" applyFill="1" applyProtection="1"/>
    <xf numFmtId="0" fontId="67" fillId="9" borderId="0" xfId="0" applyFont="1" applyFill="1" applyBorder="1"/>
    <xf numFmtId="0" fontId="67" fillId="9" borderId="0" xfId="0" applyFont="1" applyFill="1" applyBorder="1" applyProtection="1"/>
    <xf numFmtId="9" fontId="68" fillId="9" borderId="0" xfId="0" applyNumberFormat="1" applyFont="1" applyFill="1" applyBorder="1" applyProtection="1"/>
    <xf numFmtId="9" fontId="68" fillId="9" borderId="0" xfId="5" applyFont="1" applyFill="1" applyBorder="1" applyProtection="1"/>
    <xf numFmtId="0" fontId="67" fillId="9" borderId="0" xfId="0" applyFont="1" applyFill="1" applyProtection="1"/>
    <xf numFmtId="5" fontId="67" fillId="9" borderId="0" xfId="0" applyNumberFormat="1" applyFont="1" applyFill="1" applyProtection="1"/>
    <xf numFmtId="37" fontId="67" fillId="9" borderId="0" xfId="0" applyNumberFormat="1" applyFont="1" applyFill="1" applyProtection="1"/>
    <xf numFmtId="0" fontId="67" fillId="9" borderId="0" xfId="0" applyFont="1" applyFill="1"/>
    <xf numFmtId="0" fontId="67" fillId="0" borderId="0" xfId="0" applyFont="1"/>
    <xf numFmtId="41" fontId="43" fillId="0" borderId="0" xfId="0" applyNumberFormat="1" applyFont="1" applyFill="1" applyBorder="1" applyAlignment="1">
      <alignment horizontal="left"/>
    </xf>
    <xf numFmtId="0" fontId="12" fillId="9" borderId="0" xfId="0" applyFont="1" applyFill="1"/>
    <xf numFmtId="0" fontId="13" fillId="9" borderId="49" xfId="0" applyFont="1" applyFill="1" applyBorder="1"/>
    <xf numFmtId="9" fontId="13" fillId="0" borderId="49" xfId="5" applyFont="1" applyFill="1" applyBorder="1" applyAlignment="1" applyProtection="1">
      <alignment horizontal="right" vertical="top" wrapText="1"/>
      <protection locked="0"/>
    </xf>
    <xf numFmtId="10" fontId="13" fillId="9" borderId="49" xfId="5" applyNumberFormat="1" applyFont="1" applyFill="1" applyBorder="1" applyAlignment="1" applyProtection="1">
      <alignment horizontal="right" vertical="top" wrapText="1"/>
      <protection locked="0"/>
    </xf>
    <xf numFmtId="174" fontId="13" fillId="9" borderId="49" xfId="19" applyFont="1" applyFill="1" applyBorder="1" applyAlignment="1">
      <alignment horizontal="right" vertical="top" wrapText="1"/>
      <protection locked="0"/>
    </xf>
    <xf numFmtId="174" fontId="69" fillId="5" borderId="49" xfId="19" applyFont="1" applyFill="1" applyBorder="1" applyAlignment="1">
      <alignment horizontal="right" vertical="top" wrapText="1"/>
      <protection locked="0"/>
    </xf>
    <xf numFmtId="0" fontId="12" fillId="9" borderId="0" xfId="0" applyFont="1" applyFill="1" applyAlignment="1">
      <alignment horizontal="left"/>
    </xf>
    <xf numFmtId="0" fontId="26" fillId="9" borderId="0" xfId="0" applyFont="1" applyFill="1" applyBorder="1" applyAlignment="1">
      <alignment vertical="center"/>
    </xf>
    <xf numFmtId="5" fontId="16" fillId="9" borderId="0" xfId="0" applyNumberFormat="1" applyFont="1" applyFill="1" applyBorder="1" applyProtection="1"/>
    <xf numFmtId="41" fontId="43" fillId="9" borderId="0" xfId="0" applyNumberFormat="1" applyFont="1" applyFill="1" applyAlignment="1">
      <alignment horizontal="left" indent="2"/>
    </xf>
    <xf numFmtId="5" fontId="16" fillId="9" borderId="0" xfId="0" applyNumberFormat="1" applyFont="1" applyFill="1" applyBorder="1" applyProtection="1">
      <protection hidden="1"/>
    </xf>
    <xf numFmtId="0" fontId="16" fillId="9" borderId="0" xfId="0" applyFont="1" applyFill="1" applyBorder="1" applyAlignment="1">
      <alignment horizontal="right"/>
    </xf>
    <xf numFmtId="9" fontId="16" fillId="9" borderId="0" xfId="5" applyFont="1" applyFill="1" applyBorder="1"/>
    <xf numFmtId="10" fontId="16" fillId="9" borderId="0" xfId="5" applyNumberFormat="1" applyFont="1" applyFill="1" applyBorder="1"/>
    <xf numFmtId="44" fontId="16" fillId="9" borderId="0" xfId="2" applyFont="1" applyFill="1" applyBorder="1"/>
    <xf numFmtId="9" fontId="16" fillId="9" borderId="0" xfId="0" applyNumberFormat="1" applyFont="1" applyFill="1"/>
    <xf numFmtId="167" fontId="16" fillId="9" borderId="0" xfId="5" applyNumberFormat="1" applyFont="1" applyFill="1"/>
    <xf numFmtId="44" fontId="16" fillId="9" borderId="0" xfId="0" applyNumberFormat="1" applyFont="1" applyFill="1"/>
    <xf numFmtId="44" fontId="12" fillId="9" borderId="0" xfId="0" applyNumberFormat="1" applyFont="1" applyFill="1"/>
    <xf numFmtId="37" fontId="6" fillId="0" borderId="56" xfId="0" applyNumberFormat="1" applyFont="1" applyBorder="1" applyAlignment="1" applyProtection="1">
      <alignment horizontal="left" indent="5"/>
    </xf>
    <xf numFmtId="37" fontId="6" fillId="0" borderId="56" xfId="0" applyNumberFormat="1" applyFont="1" applyBorder="1" applyAlignment="1" applyProtection="1">
      <alignment horizontal="left" indent="3"/>
    </xf>
    <xf numFmtId="37" fontId="6" fillId="0" borderId="56" xfId="0" applyNumberFormat="1" applyFont="1" applyBorder="1" applyAlignment="1" applyProtection="1">
      <alignment horizontal="right"/>
    </xf>
    <xf numFmtId="37" fontId="20" fillId="0" borderId="56" xfId="0" applyNumberFormat="1" applyFont="1" applyBorder="1" applyAlignment="1" applyProtection="1">
      <alignment horizontal="right"/>
    </xf>
    <xf numFmtId="0" fontId="16" fillId="5" borderId="49" xfId="0" applyFont="1" applyFill="1" applyBorder="1"/>
    <xf numFmtId="10" fontId="16" fillId="9" borderId="0" xfId="0" applyNumberFormat="1" applyFont="1" applyFill="1" applyBorder="1" applyProtection="1"/>
    <xf numFmtId="169" fontId="16" fillId="0" borderId="49" xfId="2" applyNumberFormat="1" applyFont="1" applyBorder="1"/>
    <xf numFmtId="10" fontId="16" fillId="0" borderId="49" xfId="0" applyNumberFormat="1" applyFont="1" applyBorder="1"/>
    <xf numFmtId="169" fontId="12" fillId="0" borderId="49" xfId="2" applyNumberFormat="1" applyFont="1" applyBorder="1"/>
    <xf numFmtId="41" fontId="12" fillId="0" borderId="49" xfId="0" applyNumberFormat="1" applyFont="1" applyBorder="1"/>
    <xf numFmtId="5" fontId="13" fillId="0" borderId="49" xfId="0" applyNumberFormat="1" applyFont="1" applyBorder="1" applyAlignment="1">
      <alignment horizontal="right"/>
    </xf>
    <xf numFmtId="0" fontId="19" fillId="9" borderId="0" xfId="0" applyFont="1" applyFill="1" applyBorder="1" applyAlignment="1">
      <alignment horizontal="right"/>
    </xf>
    <xf numFmtId="171" fontId="16" fillId="9" borderId="0" xfId="1" applyNumberFormat="1" applyFont="1" applyFill="1" applyBorder="1" applyAlignment="1">
      <alignment horizontal="right"/>
    </xf>
    <xf numFmtId="10" fontId="43" fillId="9" borderId="0" xfId="0" applyNumberFormat="1" applyFont="1" applyFill="1" applyBorder="1" applyProtection="1"/>
    <xf numFmtId="41" fontId="16" fillId="0" borderId="49" xfId="0" applyNumberFormat="1" applyFont="1" applyBorder="1"/>
    <xf numFmtId="10" fontId="16" fillId="0" borderId="49" xfId="0" applyNumberFormat="1" applyFont="1" applyBorder="1" applyAlignment="1">
      <alignment horizontal="center"/>
    </xf>
    <xf numFmtId="169" fontId="16" fillId="0" borderId="49" xfId="0" applyNumberFormat="1" applyFont="1" applyBorder="1"/>
    <xf numFmtId="10" fontId="13" fillId="0" borderId="49" xfId="0" applyNumberFormat="1" applyFont="1" applyBorder="1" applyAlignment="1">
      <alignment horizontal="center"/>
    </xf>
    <xf numFmtId="165" fontId="10" fillId="9" borderId="0" xfId="0" applyNumberFormat="1" applyFont="1" applyFill="1" applyProtection="1"/>
    <xf numFmtId="0" fontId="13" fillId="0" borderId="49" xfId="0" applyFont="1" applyFill="1" applyBorder="1"/>
    <xf numFmtId="5" fontId="12" fillId="9" borderId="0" xfId="0" quotePrefix="1" applyNumberFormat="1" applyFont="1" applyFill="1" applyBorder="1" applyProtection="1"/>
    <xf numFmtId="5" fontId="16" fillId="9" borderId="0" xfId="0" quotePrefix="1" applyNumberFormat="1" applyFont="1" applyFill="1" applyBorder="1" applyProtection="1"/>
    <xf numFmtId="5" fontId="12" fillId="9" borderId="0" xfId="0" applyNumberFormat="1" applyFont="1" applyFill="1" applyBorder="1" applyProtection="1"/>
    <xf numFmtId="0" fontId="13" fillId="0" borderId="53" xfId="0" applyFont="1" applyBorder="1" applyAlignment="1">
      <alignment horizontal="right"/>
    </xf>
    <xf numFmtId="169" fontId="16" fillId="0" borderId="54" xfId="2" applyNumberFormat="1" applyFont="1" applyBorder="1"/>
    <xf numFmtId="10" fontId="16" fillId="0" borderId="54" xfId="0" applyNumberFormat="1" applyFont="1" applyBorder="1"/>
    <xf numFmtId="0" fontId="16" fillId="0" borderId="55" xfId="0" applyFont="1" applyBorder="1"/>
    <xf numFmtId="0" fontId="16" fillId="0" borderId="56" xfId="0" applyFont="1" applyBorder="1" applyAlignment="1">
      <alignment horizontal="right"/>
    </xf>
    <xf numFmtId="0" fontId="13" fillId="0" borderId="58" xfId="0" applyFont="1" applyBorder="1" applyAlignment="1">
      <alignment horizontal="right"/>
    </xf>
    <xf numFmtId="5" fontId="13" fillId="0" borderId="59" xfId="0" applyNumberFormat="1" applyFont="1" applyBorder="1" applyAlignment="1">
      <alignment horizontal="right"/>
    </xf>
    <xf numFmtId="0" fontId="12" fillId="0" borderId="53" xfId="0" applyFont="1" applyBorder="1" applyAlignment="1">
      <alignment horizontal="left"/>
    </xf>
    <xf numFmtId="0" fontId="19" fillId="0" borderId="54" xfId="0" applyFont="1" applyBorder="1" applyAlignment="1">
      <alignment horizontal="right"/>
    </xf>
    <xf numFmtId="0" fontId="19" fillId="0" borderId="55" xfId="0" applyFont="1" applyBorder="1" applyAlignment="1">
      <alignment horizontal="right"/>
    </xf>
    <xf numFmtId="2" fontId="16" fillId="0" borderId="57" xfId="0" applyNumberFormat="1" applyFont="1" applyBorder="1"/>
    <xf numFmtId="0" fontId="16" fillId="0" borderId="58" xfId="0" applyFont="1" applyBorder="1" applyAlignment="1">
      <alignment horizontal="right"/>
    </xf>
    <xf numFmtId="2" fontId="16" fillId="0" borderId="60" xfId="0" applyNumberFormat="1" applyFont="1" applyBorder="1"/>
    <xf numFmtId="0" fontId="13" fillId="0" borderId="53" xfId="0" applyFont="1" applyFill="1" applyBorder="1" applyAlignment="1">
      <alignment horizontal="right"/>
    </xf>
    <xf numFmtId="10" fontId="16" fillId="5" borderId="54" xfId="0" applyNumberFormat="1" applyFont="1" applyFill="1" applyBorder="1" applyProtection="1"/>
    <xf numFmtId="10" fontId="20" fillId="0" borderId="55" xfId="0" applyNumberFormat="1" applyFont="1" applyFill="1" applyBorder="1" applyAlignment="1" applyProtection="1">
      <alignment horizontal="center"/>
    </xf>
    <xf numFmtId="0" fontId="13" fillId="0" borderId="58" xfId="0" applyFont="1" applyFill="1" applyBorder="1" applyAlignment="1">
      <alignment horizontal="right"/>
    </xf>
    <xf numFmtId="10" fontId="16" fillId="0" borderId="59" xfId="0" applyNumberFormat="1" applyFont="1" applyFill="1" applyBorder="1" applyProtection="1"/>
    <xf numFmtId="10" fontId="16" fillId="0" borderId="60" xfId="0" applyNumberFormat="1" applyFont="1" applyFill="1" applyBorder="1" applyProtection="1"/>
    <xf numFmtId="0" fontId="16" fillId="0" borderId="53" xfId="0" applyFont="1" applyFill="1" applyBorder="1" applyAlignment="1">
      <alignment horizontal="right"/>
    </xf>
    <xf numFmtId="10" fontId="16" fillId="0" borderId="55" xfId="0" applyNumberFormat="1" applyFont="1" applyFill="1" applyBorder="1" applyProtection="1"/>
    <xf numFmtId="0" fontId="16" fillId="0" borderId="56" xfId="0" applyFont="1" applyFill="1" applyBorder="1" applyAlignment="1">
      <alignment horizontal="right"/>
    </xf>
    <xf numFmtId="10" fontId="16" fillId="9" borderId="57" xfId="0" applyNumberFormat="1" applyFont="1" applyFill="1" applyBorder="1" applyProtection="1"/>
    <xf numFmtId="10" fontId="16" fillId="0" borderId="57" xfId="0" applyNumberFormat="1" applyFont="1" applyFill="1" applyBorder="1" applyProtection="1"/>
    <xf numFmtId="0" fontId="16" fillId="0" borderId="53" xfId="0" applyFont="1" applyBorder="1"/>
    <xf numFmtId="0" fontId="13" fillId="0" borderId="54" xfId="0" applyFont="1" applyBorder="1" applyAlignment="1">
      <alignment horizontal="center"/>
    </xf>
    <xf numFmtId="0" fontId="13" fillId="0" borderId="55" xfId="0" applyFont="1" applyBorder="1" applyAlignment="1">
      <alignment horizontal="center"/>
    </xf>
    <xf numFmtId="169" fontId="16" fillId="0" borderId="57" xfId="0" applyNumberFormat="1" applyFont="1" applyBorder="1"/>
    <xf numFmtId="169" fontId="16" fillId="0" borderId="57" xfId="0" applyNumberFormat="1" applyFont="1" applyBorder="1" applyAlignment="1">
      <alignment horizontal="right"/>
    </xf>
    <xf numFmtId="10" fontId="16" fillId="0" borderId="59" xfId="0" applyNumberFormat="1" applyFont="1" applyBorder="1" applyAlignment="1">
      <alignment horizontal="center"/>
    </xf>
    <xf numFmtId="169" fontId="16" fillId="0" borderId="59" xfId="0" applyNumberFormat="1" applyFont="1" applyBorder="1"/>
    <xf numFmtId="169" fontId="16" fillId="0" borderId="60" xfId="0" applyNumberFormat="1" applyFont="1" applyBorder="1" applyAlignment="1">
      <alignment horizontal="right"/>
    </xf>
    <xf numFmtId="0" fontId="16" fillId="0" borderId="54" xfId="0" applyFont="1" applyBorder="1"/>
    <xf numFmtId="169" fontId="16" fillId="0" borderId="55" xfId="1" applyNumberFormat="1" applyFont="1" applyFill="1" applyBorder="1"/>
    <xf numFmtId="169" fontId="16" fillId="0" borderId="57" xfId="1" applyNumberFormat="1" applyFont="1" applyBorder="1"/>
    <xf numFmtId="5" fontId="16" fillId="0" borderId="59" xfId="0" applyNumberFormat="1" applyFont="1" applyBorder="1"/>
    <xf numFmtId="169" fontId="12" fillId="0" borderId="60" xfId="1" applyNumberFormat="1" applyFont="1" applyBorder="1"/>
    <xf numFmtId="5" fontId="16" fillId="0" borderId="53" xfId="0" applyNumberFormat="1" applyFont="1" applyBorder="1" applyProtection="1"/>
    <xf numFmtId="0" fontId="13" fillId="0" borderId="54" xfId="0" applyFont="1" applyFill="1" applyBorder="1"/>
    <xf numFmtId="5" fontId="16" fillId="0" borderId="58" xfId="0" applyNumberFormat="1" applyFont="1" applyBorder="1" applyProtection="1"/>
    <xf numFmtId="0" fontId="13" fillId="0" borderId="59" xfId="0" applyFont="1" applyFill="1" applyBorder="1"/>
    <xf numFmtId="0" fontId="13" fillId="0" borderId="54" xfId="0" applyFont="1" applyBorder="1"/>
    <xf numFmtId="0" fontId="16" fillId="5" borderId="55" xfId="0" applyFont="1" applyFill="1" applyBorder="1"/>
    <xf numFmtId="5" fontId="16" fillId="0" borderId="56" xfId="0" applyNumberFormat="1" applyFont="1" applyBorder="1" applyProtection="1"/>
    <xf numFmtId="0" fontId="16" fillId="5" borderId="57" xfId="0" applyFont="1" applyFill="1" applyBorder="1"/>
    <xf numFmtId="5" fontId="16" fillId="0" borderId="58" xfId="0" applyNumberFormat="1" applyFont="1" applyBorder="1" applyProtection="1">
      <protection hidden="1"/>
    </xf>
    <xf numFmtId="0" fontId="16" fillId="5" borderId="60" xfId="0" applyFont="1" applyFill="1" applyBorder="1"/>
    <xf numFmtId="5" fontId="16" fillId="9" borderId="0" xfId="0" applyNumberFormat="1" applyFont="1" applyFill="1" applyBorder="1"/>
    <xf numFmtId="169" fontId="12" fillId="9" borderId="0" xfId="1" applyNumberFormat="1" applyFont="1" applyFill="1" applyBorder="1"/>
    <xf numFmtId="0" fontId="43" fillId="9" borderId="0" xfId="0" applyFont="1" applyFill="1" applyBorder="1" applyProtection="1"/>
    <xf numFmtId="167" fontId="9" fillId="9" borderId="0" xfId="5" applyNumberFormat="1" applyFont="1" applyFill="1" applyBorder="1" applyProtection="1"/>
    <xf numFmtId="3" fontId="13" fillId="0" borderId="49" xfId="0" applyNumberFormat="1" applyFont="1" applyFill="1" applyBorder="1" applyAlignment="1" applyProtection="1">
      <alignment horizontal="right"/>
    </xf>
    <xf numFmtId="3" fontId="13" fillId="9" borderId="49" xfId="0" applyNumberFormat="1" applyFont="1" applyFill="1" applyBorder="1" applyAlignment="1">
      <alignment horizontal="right"/>
    </xf>
    <xf numFmtId="3" fontId="16" fillId="9" borderId="49" xfId="0" applyNumberFormat="1" applyFont="1" applyFill="1" applyBorder="1" applyAlignment="1">
      <alignment horizontal="right"/>
    </xf>
    <xf numFmtId="3" fontId="13" fillId="0" borderId="49" xfId="0" applyNumberFormat="1" applyFont="1" applyFill="1" applyBorder="1" applyAlignment="1">
      <alignment horizontal="right"/>
    </xf>
    <xf numFmtId="3" fontId="13" fillId="5" borderId="49" xfId="0" applyNumberFormat="1" applyFont="1" applyFill="1" applyBorder="1" applyAlignment="1" applyProtection="1">
      <alignment horizontal="right"/>
    </xf>
    <xf numFmtId="10" fontId="44" fillId="9" borderId="0" xfId="0" applyNumberFormat="1" applyFont="1" applyFill="1" applyBorder="1" applyProtection="1"/>
    <xf numFmtId="10" fontId="16" fillId="9" borderId="55" xfId="5" applyNumberFormat="1" applyFont="1" applyFill="1" applyBorder="1"/>
    <xf numFmtId="10" fontId="16" fillId="9" borderId="60" xfId="5" applyNumberFormat="1" applyFont="1" applyFill="1" applyBorder="1"/>
    <xf numFmtId="5" fontId="49" fillId="9" borderId="0" xfId="0" applyNumberFormat="1" applyFont="1" applyFill="1" applyBorder="1" applyAlignment="1">
      <alignment horizontal="right"/>
    </xf>
    <xf numFmtId="5" fontId="49" fillId="0" borderId="0" xfId="0" applyNumberFormat="1" applyFont="1" applyFill="1" applyBorder="1" applyAlignment="1">
      <alignment horizontal="right"/>
    </xf>
    <xf numFmtId="0" fontId="13" fillId="9" borderId="0" xfId="0" applyFont="1" applyFill="1" applyBorder="1" applyAlignment="1">
      <alignment horizontal="left" indent="1"/>
    </xf>
    <xf numFmtId="41" fontId="30" fillId="9" borderId="0" xfId="0" applyNumberFormat="1" applyFont="1" applyFill="1" applyBorder="1" applyAlignment="1" applyProtection="1">
      <alignment horizontal="right"/>
    </xf>
    <xf numFmtId="10" fontId="44" fillId="9" borderId="0" xfId="0" applyNumberFormat="1" applyFont="1" applyFill="1" applyBorder="1" applyAlignment="1" applyProtection="1">
      <alignment horizontal="left" indent="1"/>
    </xf>
    <xf numFmtId="0" fontId="44" fillId="9" borderId="0" xfId="0" applyFont="1" applyFill="1" applyBorder="1" applyAlignment="1" applyProtection="1"/>
    <xf numFmtId="41" fontId="13" fillId="0" borderId="49" xfId="0" applyNumberFormat="1" applyFont="1" applyFill="1" applyBorder="1" applyAlignment="1">
      <alignment horizontal="right"/>
    </xf>
    <xf numFmtId="3" fontId="16" fillId="0" borderId="49" xfId="0" applyNumberFormat="1" applyFont="1" applyFill="1" applyBorder="1" applyAlignment="1">
      <alignment horizontal="right"/>
    </xf>
    <xf numFmtId="10" fontId="3" fillId="9" borderId="0" xfId="0" applyNumberFormat="1" applyFont="1" applyFill="1" applyBorder="1" applyAlignment="1">
      <alignment horizontal="right"/>
    </xf>
    <xf numFmtId="10" fontId="3" fillId="9" borderId="0" xfId="0" applyNumberFormat="1" applyFont="1" applyFill="1" applyBorder="1" applyAlignment="1"/>
    <xf numFmtId="41" fontId="9" fillId="9" borderId="0" xfId="0" applyNumberFormat="1" applyFont="1" applyFill="1" applyBorder="1" applyProtection="1"/>
    <xf numFmtId="3" fontId="47" fillId="9" borderId="0" xfId="0" applyNumberFormat="1" applyFont="1" applyFill="1" applyBorder="1" applyAlignment="1">
      <alignment horizontal="right"/>
    </xf>
    <xf numFmtId="169" fontId="30" fillId="9" borderId="0" xfId="0" applyNumberFormat="1" applyFont="1" applyFill="1" applyBorder="1" applyAlignment="1" applyProtection="1">
      <alignment horizontal="right"/>
    </xf>
    <xf numFmtId="0" fontId="44" fillId="9" borderId="0" xfId="0" applyFont="1" applyFill="1" applyBorder="1" applyAlignment="1" applyProtection="1">
      <alignment horizontal="left"/>
    </xf>
    <xf numFmtId="9" fontId="10" fillId="9" borderId="0" xfId="5" applyFont="1" applyFill="1" applyBorder="1" applyProtection="1"/>
    <xf numFmtId="3" fontId="13" fillId="5" borderId="56" xfId="0" applyNumberFormat="1" applyFont="1" applyFill="1" applyBorder="1" applyAlignment="1">
      <alignment horizontal="center"/>
    </xf>
    <xf numFmtId="0" fontId="6" fillId="0" borderId="58" xfId="0" applyFont="1" applyFill="1" applyBorder="1" applyAlignment="1" applyProtection="1">
      <alignment horizontal="right"/>
    </xf>
    <xf numFmtId="0" fontId="5" fillId="0" borderId="59" xfId="0" applyFont="1" applyFill="1" applyBorder="1" applyAlignment="1" applyProtection="1">
      <alignment horizontal="left"/>
    </xf>
    <xf numFmtId="3" fontId="16" fillId="5" borderId="59" xfId="0" applyNumberFormat="1" applyFont="1" applyFill="1" applyBorder="1" applyAlignment="1">
      <alignment horizontal="center"/>
    </xf>
    <xf numFmtId="169" fontId="9" fillId="0" borderId="59" xfId="0" applyNumberFormat="1" applyFont="1" applyFill="1" applyBorder="1" applyAlignment="1" applyProtection="1">
      <alignment horizontal="center"/>
    </xf>
    <xf numFmtId="3" fontId="12" fillId="0" borderId="60" xfId="0" applyNumberFormat="1" applyFont="1" applyFill="1" applyBorder="1"/>
    <xf numFmtId="0" fontId="5" fillId="0" borderId="68" xfId="0" applyFont="1" applyFill="1" applyBorder="1" applyAlignment="1" applyProtection="1">
      <alignment horizontal="left"/>
    </xf>
    <xf numFmtId="0" fontId="5" fillId="0" borderId="52" xfId="0" applyFont="1" applyFill="1" applyBorder="1" applyAlignment="1" applyProtection="1">
      <alignment horizontal="left"/>
    </xf>
    <xf numFmtId="0" fontId="9" fillId="0" borderId="52" xfId="0" applyFont="1" applyFill="1" applyBorder="1" applyAlignment="1" applyProtection="1">
      <alignment horizontal="centerContinuous"/>
    </xf>
    <xf numFmtId="0" fontId="16" fillId="0" borderId="52" xfId="0" applyFont="1" applyFill="1" applyBorder="1"/>
    <xf numFmtId="0" fontId="28" fillId="0" borderId="52" xfId="0" applyFont="1" applyFill="1" applyBorder="1" applyAlignment="1">
      <alignment horizontal="center" wrapText="1"/>
    </xf>
    <xf numFmtId="0" fontId="28" fillId="0" borderId="82" xfId="0" applyFont="1" applyFill="1" applyBorder="1" applyAlignment="1">
      <alignment horizontal="center" wrapText="1"/>
    </xf>
    <xf numFmtId="37" fontId="45" fillId="9" borderId="0" xfId="0" applyNumberFormat="1" applyFont="1" applyFill="1" applyBorder="1" applyAlignment="1" applyProtection="1"/>
    <xf numFmtId="171" fontId="6" fillId="9" borderId="0" xfId="1" applyNumberFormat="1" applyFont="1" applyFill="1" applyBorder="1" applyProtection="1"/>
    <xf numFmtId="171" fontId="27" fillId="9" borderId="0" xfId="1" applyNumberFormat="1" applyFont="1" applyFill="1" applyBorder="1" applyProtection="1"/>
    <xf numFmtId="14" fontId="13" fillId="5" borderId="2" xfId="6" applyNumberFormat="1" applyFont="1" applyFill="1" applyBorder="1"/>
    <xf numFmtId="14" fontId="13" fillId="5" borderId="29" xfId="6" applyNumberFormat="1" applyFont="1" applyFill="1" applyBorder="1"/>
    <xf numFmtId="171" fontId="13" fillId="5" borderId="2" xfId="6" applyNumberFormat="1" applyFont="1" applyFill="1" applyBorder="1"/>
    <xf numFmtId="168" fontId="16" fillId="5" borderId="51" xfId="2" applyNumberFormat="1" applyFont="1" applyFill="1" applyBorder="1" applyAlignment="1">
      <alignment horizontal="center"/>
    </xf>
    <xf numFmtId="0" fontId="16" fillId="9" borderId="65" xfId="0" applyFont="1" applyFill="1" applyBorder="1" applyAlignment="1">
      <alignment horizontal="center"/>
    </xf>
    <xf numFmtId="168" fontId="5" fillId="9" borderId="83" xfId="2" applyNumberFormat="1" applyFont="1" applyFill="1" applyBorder="1" applyProtection="1"/>
    <xf numFmtId="168" fontId="16" fillId="0" borderId="57" xfId="2" applyNumberFormat="1" applyFont="1" applyFill="1" applyBorder="1"/>
    <xf numFmtId="168" fontId="16" fillId="9" borderId="57" xfId="2" applyNumberFormat="1" applyFont="1" applyFill="1" applyBorder="1" applyAlignment="1">
      <alignment horizontal="center"/>
    </xf>
    <xf numFmtId="0" fontId="26" fillId="9" borderId="0" xfId="0" applyFont="1" applyFill="1"/>
    <xf numFmtId="169" fontId="3" fillId="5" borderId="49" xfId="19" applyNumberFormat="1" applyFont="1" applyFill="1" applyBorder="1" applyAlignment="1">
      <alignment horizontal="right" vertical="top" wrapText="1"/>
      <protection locked="0"/>
    </xf>
    <xf numFmtId="169" fontId="3" fillId="5" borderId="50" xfId="19" applyNumberFormat="1" applyFont="1" applyFill="1" applyBorder="1" applyAlignment="1">
      <alignment horizontal="right" vertical="top" wrapText="1"/>
      <protection locked="0"/>
    </xf>
    <xf numFmtId="169" fontId="13" fillId="5" borderId="59" xfId="19" applyNumberFormat="1" applyFont="1" applyFill="1" applyBorder="1" applyAlignment="1">
      <alignment horizontal="right" vertical="top" wrapText="1"/>
      <protection locked="0"/>
    </xf>
    <xf numFmtId="169" fontId="13" fillId="5" borderId="49" xfId="19" applyNumberFormat="1" applyFont="1" applyFill="1" applyBorder="1" applyAlignment="1">
      <alignment horizontal="right" vertical="top" wrapText="1"/>
      <protection locked="0"/>
    </xf>
    <xf numFmtId="0" fontId="43" fillId="9" borderId="0" xfId="2" applyNumberFormat="1" applyFont="1" applyFill="1" applyBorder="1"/>
    <xf numFmtId="169" fontId="70" fillId="5" borderId="49" xfId="19" applyNumberFormat="1" applyFont="1" applyFill="1" applyBorder="1" applyAlignment="1">
      <alignment horizontal="right" vertical="top" wrapText="1"/>
      <protection locked="0"/>
    </xf>
    <xf numFmtId="169" fontId="70" fillId="9" borderId="59" xfId="19" applyNumberFormat="1" applyFont="1" applyFill="1" applyBorder="1" applyAlignment="1">
      <alignment horizontal="right" vertical="top" wrapText="1"/>
      <protection locked="0"/>
    </xf>
    <xf numFmtId="169" fontId="3" fillId="9" borderId="0" xfId="19" applyNumberFormat="1" applyFont="1" applyFill="1" applyBorder="1" applyAlignment="1">
      <alignment horizontal="right" vertical="top" wrapText="1"/>
      <protection locked="0"/>
    </xf>
    <xf numFmtId="169" fontId="3" fillId="5" borderId="49" xfId="19" applyNumberFormat="1" applyFont="1" applyFill="1" applyBorder="1" applyAlignment="1" applyProtection="1">
      <alignment horizontal="right" vertical="top" wrapText="1"/>
    </xf>
    <xf numFmtId="0" fontId="13" fillId="9" borderId="0" xfId="0" quotePrefix="1" applyFont="1" applyFill="1"/>
    <xf numFmtId="168" fontId="30" fillId="0" borderId="0" xfId="2" applyNumberFormat="1" applyFont="1" applyFill="1" applyBorder="1" applyAlignment="1" applyProtection="1">
      <alignment horizontal="right"/>
    </xf>
    <xf numFmtId="0" fontId="12" fillId="0" borderId="52" xfId="0" applyFont="1" applyBorder="1" applyAlignment="1">
      <alignment horizontal="center"/>
    </xf>
    <xf numFmtId="0" fontId="12" fillId="0" borderId="52" xfId="0" applyFont="1" applyBorder="1" applyAlignment="1">
      <alignment horizontal="center" wrapText="1"/>
    </xf>
    <xf numFmtId="0" fontId="12" fillId="0" borderId="52" xfId="4" applyFont="1" applyFill="1" applyBorder="1" applyAlignment="1">
      <alignment horizontal="center" wrapText="1"/>
    </xf>
    <xf numFmtId="0" fontId="12" fillId="0" borderId="82" xfId="4" applyFont="1" applyFill="1" applyBorder="1" applyAlignment="1">
      <alignment horizontal="center" wrapText="1"/>
    </xf>
    <xf numFmtId="0" fontId="12" fillId="0" borderId="68" xfId="0" applyFont="1" applyBorder="1" applyAlignment="1">
      <alignment horizontal="center"/>
    </xf>
    <xf numFmtId="0" fontId="5" fillId="0" borderId="84" xfId="0" applyFont="1" applyFill="1" applyBorder="1" applyProtection="1"/>
    <xf numFmtId="0" fontId="5" fillId="9" borderId="85" xfId="0" applyFont="1" applyFill="1" applyBorder="1" applyProtection="1"/>
    <xf numFmtId="0" fontId="9" fillId="9" borderId="85" xfId="0" applyFont="1" applyFill="1" applyBorder="1" applyProtection="1"/>
    <xf numFmtId="0" fontId="9" fillId="9" borderId="86" xfId="0" applyFont="1" applyFill="1" applyBorder="1" applyProtection="1"/>
    <xf numFmtId="0" fontId="38" fillId="9" borderId="0" xfId="0" applyFont="1" applyFill="1" applyProtection="1"/>
    <xf numFmtId="3" fontId="13" fillId="5" borderId="49" xfId="0" applyNumberFormat="1" applyFont="1" applyFill="1" applyBorder="1" applyAlignment="1">
      <alignment horizontal="right"/>
    </xf>
    <xf numFmtId="3" fontId="13" fillId="5" borderId="59" xfId="0" applyNumberFormat="1" applyFont="1" applyFill="1" applyBorder="1" applyAlignment="1">
      <alignment horizontal="right"/>
    </xf>
    <xf numFmtId="168" fontId="5" fillId="9" borderId="87" xfId="2" applyNumberFormat="1" applyFont="1" applyFill="1" applyBorder="1" applyAlignment="1" applyProtection="1">
      <alignment horizontal="right"/>
    </xf>
    <xf numFmtId="5" fontId="12" fillId="0" borderId="0" xfId="0" applyNumberFormat="1" applyFont="1" applyFill="1" applyBorder="1" applyAlignment="1">
      <alignment horizontal="right"/>
    </xf>
    <xf numFmtId="5" fontId="12" fillId="9" borderId="0" xfId="0" applyNumberFormat="1" applyFont="1" applyFill="1" applyBorder="1" applyAlignment="1">
      <alignment horizontal="right"/>
    </xf>
    <xf numFmtId="169" fontId="13" fillId="9" borderId="49" xfId="19" applyNumberFormat="1" applyFont="1" applyFill="1" applyBorder="1" applyAlignment="1">
      <alignment horizontal="right" vertical="top" wrapText="1"/>
      <protection locked="0"/>
    </xf>
    <xf numFmtId="169" fontId="12" fillId="5" borderId="49" xfId="19" applyNumberFormat="1" applyFont="1" applyFill="1" applyBorder="1" applyAlignment="1">
      <alignment horizontal="right" vertical="top" wrapText="1"/>
      <protection locked="0"/>
    </xf>
    <xf numFmtId="5" fontId="0" fillId="5" borderId="49" xfId="0" applyNumberFormat="1" applyFill="1" applyBorder="1" applyAlignment="1"/>
    <xf numFmtId="9" fontId="0" fillId="5" borderId="49" xfId="0" applyNumberFormat="1" applyFill="1" applyBorder="1" applyAlignment="1">
      <alignment horizontal="center"/>
    </xf>
    <xf numFmtId="10" fontId="6" fillId="5" borderId="49" xfId="0" applyNumberFormat="1" applyFont="1" applyFill="1" applyBorder="1" applyAlignment="1" applyProtection="1">
      <alignment horizontal="center"/>
    </xf>
    <xf numFmtId="1" fontId="6" fillId="5" borderId="49" xfId="0" applyNumberFormat="1" applyFont="1" applyFill="1" applyBorder="1" applyAlignment="1" applyProtection="1">
      <alignment horizontal="center"/>
    </xf>
    <xf numFmtId="169" fontId="6" fillId="0" borderId="49" xfId="2" applyNumberFormat="1" applyFont="1" applyFill="1" applyBorder="1" applyAlignment="1" applyProtection="1">
      <alignment horizontal="center"/>
    </xf>
    <xf numFmtId="169" fontId="6" fillId="0" borderId="49" xfId="0" applyNumberFormat="1" applyFont="1" applyFill="1" applyBorder="1" applyAlignment="1" applyProtection="1">
      <alignment horizontal="center"/>
    </xf>
    <xf numFmtId="5" fontId="0" fillId="0" borderId="57" xfId="0" applyNumberFormat="1" applyFill="1" applyBorder="1" applyAlignment="1"/>
    <xf numFmtId="5" fontId="13" fillId="0" borderId="57" xfId="0" applyNumberFormat="1" applyFont="1" applyBorder="1"/>
    <xf numFmtId="49" fontId="44" fillId="3" borderId="57" xfId="0" applyNumberFormat="1" applyFont="1" applyFill="1" applyBorder="1" applyAlignment="1" applyProtection="1">
      <alignment horizontal="center"/>
    </xf>
    <xf numFmtId="49" fontId="20" fillId="0" borderId="57" xfId="0" applyNumberFormat="1" applyFont="1" applyFill="1" applyBorder="1" applyAlignment="1" applyProtection="1">
      <alignment horizontal="left"/>
    </xf>
    <xf numFmtId="0" fontId="0" fillId="9" borderId="49" xfId="0" applyFill="1" applyBorder="1"/>
    <xf numFmtId="0" fontId="0" fillId="0" borderId="49" xfId="0" applyBorder="1"/>
    <xf numFmtId="0" fontId="23" fillId="0" borderId="49" xfId="0" applyFont="1" applyBorder="1"/>
    <xf numFmtId="10" fontId="20" fillId="0" borderId="49" xfId="0" applyNumberFormat="1" applyFont="1" applyFill="1" applyBorder="1" applyAlignment="1" applyProtection="1">
      <alignment horizontal="center"/>
    </xf>
    <xf numFmtId="49" fontId="6" fillId="5" borderId="49" xfId="0" applyNumberFormat="1" applyFont="1" applyFill="1" applyBorder="1" applyAlignment="1" applyProtection="1">
      <alignment horizontal="center"/>
    </xf>
    <xf numFmtId="10" fontId="6" fillId="0" borderId="49" xfId="0" applyNumberFormat="1" applyFont="1" applyFill="1" applyBorder="1" applyProtection="1"/>
    <xf numFmtId="0" fontId="6" fillId="0" borderId="49" xfId="0" applyFont="1" applyFill="1" applyBorder="1" applyProtection="1"/>
    <xf numFmtId="2" fontId="6" fillId="5" borderId="49" xfId="5" applyNumberFormat="1" applyFont="1" applyFill="1" applyBorder="1" applyProtection="1"/>
    <xf numFmtId="168" fontId="6" fillId="0" borderId="49" xfId="2" applyNumberFormat="1" applyFont="1" applyFill="1" applyBorder="1" applyProtection="1"/>
    <xf numFmtId="168" fontId="6" fillId="0" borderId="49" xfId="5" applyNumberFormat="1" applyFont="1" applyFill="1" applyBorder="1" applyProtection="1"/>
    <xf numFmtId="0" fontId="43" fillId="9" borderId="49" xfId="0" applyFont="1" applyFill="1" applyBorder="1" applyAlignment="1">
      <alignment vertical="center"/>
    </xf>
    <xf numFmtId="170" fontId="20" fillId="0" borderId="49" xfId="5" applyNumberFormat="1" applyFont="1" applyFill="1" applyBorder="1" applyProtection="1"/>
    <xf numFmtId="0" fontId="6" fillId="9" borderId="49" xfId="0" applyFont="1" applyFill="1" applyBorder="1" applyProtection="1"/>
    <xf numFmtId="0" fontId="0" fillId="0" borderId="54" xfId="0" applyFill="1" applyBorder="1" applyAlignment="1"/>
    <xf numFmtId="0" fontId="0" fillId="9" borderId="55" xfId="0" applyFill="1" applyBorder="1"/>
    <xf numFmtId="0" fontId="0" fillId="9" borderId="57" xfId="0" applyFill="1" applyBorder="1"/>
    <xf numFmtId="0" fontId="0" fillId="9" borderId="56" xfId="0" applyFill="1" applyBorder="1"/>
    <xf numFmtId="37" fontId="14" fillId="0" borderId="56" xfId="0" applyNumberFormat="1" applyFont="1" applyBorder="1" applyAlignment="1" applyProtection="1">
      <alignment horizontal="center"/>
    </xf>
    <xf numFmtId="37" fontId="20" fillId="0" borderId="56" xfId="0" applyNumberFormat="1" applyFont="1" applyBorder="1" applyAlignment="1" applyProtection="1">
      <alignment horizontal="left" indent="4"/>
    </xf>
    <xf numFmtId="0" fontId="9" fillId="9" borderId="56" xfId="0" applyFont="1" applyFill="1" applyBorder="1" applyProtection="1"/>
    <xf numFmtId="0" fontId="6" fillId="9" borderId="57" xfId="0" applyFont="1" applyFill="1" applyBorder="1" applyProtection="1"/>
    <xf numFmtId="0" fontId="26" fillId="0" borderId="58" xfId="0" applyFont="1" applyFill="1" applyBorder="1" applyAlignment="1">
      <alignment horizontal="center" vertical="center"/>
    </xf>
    <xf numFmtId="168" fontId="12" fillId="0" borderId="59" xfId="0" quotePrefix="1" applyNumberFormat="1" applyFont="1" applyFill="1" applyBorder="1" applyAlignment="1">
      <alignment horizontal="right" vertical="center"/>
    </xf>
    <xf numFmtId="0" fontId="6" fillId="9" borderId="60" xfId="0" applyFont="1" applyFill="1" applyBorder="1" applyProtection="1"/>
    <xf numFmtId="9" fontId="13" fillId="5" borderId="49" xfId="0" applyNumberFormat="1" applyFont="1" applyFill="1" applyBorder="1" applyAlignment="1">
      <alignment horizontal="center"/>
    </xf>
    <xf numFmtId="1" fontId="13" fillId="5" borderId="49" xfId="21" applyNumberFormat="1" applyFont="1" applyFill="1" applyBorder="1" applyAlignment="1">
      <alignment vertical="center"/>
    </xf>
    <xf numFmtId="172" fontId="13" fillId="5" borderId="49" xfId="21" applyNumberFormat="1" applyFont="1" applyFill="1" applyBorder="1" applyAlignment="1">
      <alignment vertical="center"/>
    </xf>
    <xf numFmtId="3" fontId="12" fillId="9" borderId="64" xfId="16" applyFont="1" applyFill="1" applyBorder="1" applyAlignment="1">
      <alignment horizontal="left"/>
    </xf>
    <xf numFmtId="0" fontId="16" fillId="9" borderId="56" xfId="0" applyFont="1" applyFill="1" applyBorder="1" applyAlignment="1">
      <alignment horizontal="left" indent="1"/>
    </xf>
    <xf numFmtId="37" fontId="16" fillId="9" borderId="56" xfId="0" applyNumberFormat="1" applyFont="1" applyFill="1" applyBorder="1" applyAlignment="1">
      <alignment horizontal="left" indent="1"/>
    </xf>
    <xf numFmtId="168" fontId="5" fillId="9" borderId="88" xfId="0" applyNumberFormat="1" applyFont="1" applyFill="1" applyBorder="1" applyProtection="1"/>
    <xf numFmtId="0" fontId="0" fillId="5" borderId="59" xfId="0" applyFill="1" applyBorder="1"/>
    <xf numFmtId="6" fontId="13" fillId="2" borderId="60" xfId="21" applyNumberFormat="1" applyFont="1" applyFill="1" applyBorder="1" applyAlignment="1" applyProtection="1">
      <alignment horizontal="right"/>
      <protection locked="0"/>
    </xf>
    <xf numFmtId="0" fontId="13" fillId="9" borderId="62" xfId="0" applyFont="1" applyFill="1" applyBorder="1"/>
    <xf numFmtId="37" fontId="16" fillId="9" borderId="0" xfId="0" applyNumberFormat="1" applyFont="1" applyFill="1" applyBorder="1"/>
    <xf numFmtId="0" fontId="0" fillId="9" borderId="0" xfId="0" applyFill="1" applyBorder="1" applyAlignment="1">
      <alignment horizontal="left"/>
    </xf>
    <xf numFmtId="37" fontId="0" fillId="9" borderId="0" xfId="0" applyNumberFormat="1" applyFill="1" applyBorder="1"/>
    <xf numFmtId="41" fontId="28" fillId="9" borderId="17" xfId="17" applyNumberFormat="1" applyFont="1" applyFill="1" applyBorder="1" applyAlignment="1" applyProtection="1">
      <alignment horizontal="right" vertical="center"/>
    </xf>
    <xf numFmtId="41" fontId="38" fillId="9" borderId="15" xfId="11" applyNumberFormat="1" applyFont="1" applyFill="1" applyBorder="1" applyAlignment="1">
      <alignment horizontal="right" vertical="center"/>
    </xf>
    <xf numFmtId="3" fontId="25" fillId="0" borderId="2" xfId="11" applyFont="1" applyFill="1" applyBorder="1" applyAlignment="1" applyProtection="1">
      <alignment horizontal="left" vertical="center" indent="1"/>
    </xf>
    <xf numFmtId="3" fontId="28" fillId="9" borderId="2" xfId="17" applyFont="1" applyFill="1" applyBorder="1" applyAlignment="1">
      <alignment horizontal="left" vertical="center"/>
    </xf>
    <xf numFmtId="170" fontId="42" fillId="0" borderId="2" xfId="15" applyNumberFormat="1" applyFont="1" applyFill="1" applyBorder="1" applyAlignment="1">
      <alignment horizontal="left" vertical="center"/>
      <protection locked="0"/>
    </xf>
    <xf numFmtId="41" fontId="38" fillId="0" borderId="2" xfId="11" applyNumberFormat="1" applyFont="1" applyFill="1" applyBorder="1" applyAlignment="1">
      <alignment horizontal="right" vertical="center"/>
    </xf>
    <xf numFmtId="3" fontId="28" fillId="0" borderId="2" xfId="11" applyFont="1" applyFill="1" applyBorder="1" applyAlignment="1" applyProtection="1">
      <alignment horizontal="left" vertical="center"/>
    </xf>
    <xf numFmtId="5" fontId="9" fillId="5" borderId="49" xfId="0" applyNumberFormat="1" applyFont="1" applyFill="1" applyBorder="1" applyProtection="1"/>
    <xf numFmtId="0" fontId="22" fillId="9" borderId="58" xfId="0" applyFont="1" applyFill="1" applyBorder="1" applyAlignment="1" applyProtection="1">
      <alignment horizontal="left" indent="1"/>
    </xf>
    <xf numFmtId="5" fontId="5" fillId="9" borderId="59" xfId="0" applyNumberFormat="1" applyFont="1" applyFill="1" applyBorder="1" applyProtection="1"/>
    <xf numFmtId="5" fontId="24" fillId="9" borderId="59" xfId="0" applyNumberFormat="1" applyFont="1" applyFill="1" applyBorder="1" applyAlignment="1" applyProtection="1">
      <protection locked="0"/>
    </xf>
    <xf numFmtId="10" fontId="30" fillId="9" borderId="60" xfId="0" applyNumberFormat="1" applyFont="1" applyFill="1" applyBorder="1" applyProtection="1"/>
    <xf numFmtId="6" fontId="44" fillId="9" borderId="0" xfId="0" applyNumberFormat="1" applyFont="1" applyFill="1" applyBorder="1" applyProtection="1"/>
    <xf numFmtId="41" fontId="13" fillId="5" borderId="49" xfId="0" applyNumberFormat="1" applyFont="1" applyFill="1" applyBorder="1" applyAlignment="1">
      <alignment horizontal="right"/>
    </xf>
    <xf numFmtId="169" fontId="44" fillId="9" borderId="0" xfId="0" applyNumberFormat="1" applyFont="1" applyFill="1" applyBorder="1" applyProtection="1"/>
    <xf numFmtId="3" fontId="13" fillId="0" borderId="64" xfId="16" applyFont="1" applyFill="1" applyBorder="1" applyAlignment="1">
      <alignment horizontal="left" vertical="center"/>
    </xf>
    <xf numFmtId="0" fontId="71" fillId="5" borderId="89" xfId="0" applyFont="1" applyFill="1" applyBorder="1" applyAlignment="1">
      <alignment horizontal="left"/>
    </xf>
    <xf numFmtId="0" fontId="71" fillId="5" borderId="90" xfId="0" applyFont="1" applyFill="1" applyBorder="1" applyAlignment="1">
      <alignment horizontal="left"/>
    </xf>
    <xf numFmtId="9" fontId="44" fillId="9" borderId="0" xfId="5" applyFont="1" applyFill="1" applyBorder="1" applyAlignment="1" applyProtection="1">
      <alignment horizontal="left"/>
    </xf>
    <xf numFmtId="0" fontId="16" fillId="5" borderId="49" xfId="0" applyFont="1" applyFill="1" applyBorder="1" applyAlignment="1">
      <alignment horizontal="center"/>
    </xf>
    <xf numFmtId="0" fontId="0" fillId="9" borderId="66" xfId="0" applyFill="1" applyBorder="1"/>
    <xf numFmtId="0" fontId="0" fillId="9" borderId="67" xfId="0" applyFill="1" applyBorder="1"/>
    <xf numFmtId="3" fontId="70" fillId="9" borderId="53" xfId="0" applyNumberFormat="1" applyFont="1" applyFill="1" applyBorder="1" applyAlignment="1">
      <alignment horizontal="left"/>
    </xf>
    <xf numFmtId="3" fontId="70" fillId="5" borderId="55" xfId="0" applyNumberFormat="1" applyFont="1" applyFill="1" applyBorder="1" applyAlignment="1">
      <alignment horizontal="left"/>
    </xf>
    <xf numFmtId="3" fontId="70" fillId="9" borderId="56" xfId="0" applyNumberFormat="1" applyFont="1" applyFill="1" applyBorder="1" applyAlignment="1">
      <alignment horizontal="left"/>
    </xf>
    <xf numFmtId="3" fontId="70" fillId="5" borderId="57" xfId="0" applyNumberFormat="1" applyFont="1" applyFill="1" applyBorder="1" applyAlignment="1">
      <alignment horizontal="left"/>
    </xf>
    <xf numFmtId="3" fontId="70" fillId="9" borderId="58" xfId="0" applyNumberFormat="1" applyFont="1" applyFill="1" applyBorder="1" applyAlignment="1">
      <alignment horizontal="left"/>
    </xf>
    <xf numFmtId="3" fontId="70" fillId="5" borderId="60" xfId="0" applyNumberFormat="1" applyFont="1" applyFill="1" applyBorder="1" applyAlignment="1">
      <alignment horizontal="left"/>
    </xf>
    <xf numFmtId="0" fontId="72" fillId="9" borderId="0" xfId="0" applyFont="1" applyFill="1" applyBorder="1" applyAlignment="1">
      <alignment horizontal="left"/>
    </xf>
    <xf numFmtId="3" fontId="72" fillId="9" borderId="0" xfId="0" applyNumberFormat="1" applyFont="1" applyFill="1" applyBorder="1" applyAlignment="1">
      <alignment horizontal="left"/>
    </xf>
    <xf numFmtId="9" fontId="13" fillId="9" borderId="57" xfId="21" applyNumberFormat="1" applyFont="1" applyFill="1" applyBorder="1" applyAlignment="1">
      <alignment vertical="center"/>
    </xf>
    <xf numFmtId="3" fontId="19" fillId="9" borderId="0" xfId="11" applyFont="1" applyFill="1" applyBorder="1" applyAlignment="1" applyProtection="1">
      <alignment horizontal="left" vertical="center"/>
    </xf>
    <xf numFmtId="3" fontId="26" fillId="9" borderId="0" xfId="11" applyFont="1" applyFill="1" applyAlignment="1" applyProtection="1">
      <alignment horizontal="left" vertical="center"/>
    </xf>
    <xf numFmtId="6" fontId="13" fillId="9" borderId="0" xfId="21" applyNumberFormat="1" applyFont="1" applyFill="1" applyBorder="1" applyAlignment="1">
      <alignment horizontal="left" vertical="center"/>
    </xf>
    <xf numFmtId="174" fontId="13" fillId="9" borderId="92" xfId="19" applyFont="1" applyFill="1" applyBorder="1" applyAlignment="1">
      <alignment horizontal="left" vertical="top" wrapText="1"/>
      <protection locked="0"/>
    </xf>
    <xf numFmtId="3" fontId="13" fillId="0" borderId="91" xfId="11" applyFont="1" applyFill="1" applyBorder="1" applyAlignment="1">
      <alignment horizontal="left" vertical="center"/>
    </xf>
    <xf numFmtId="6" fontId="13" fillId="9" borderId="4" xfId="21" applyNumberFormat="1" applyFont="1" applyFill="1" applyBorder="1" applyAlignment="1">
      <alignment vertical="center"/>
    </xf>
    <xf numFmtId="1" fontId="13" fillId="9" borderId="4" xfId="21" applyNumberFormat="1" applyFont="1" applyFill="1" applyBorder="1" applyAlignment="1">
      <alignment vertical="center"/>
    </xf>
    <xf numFmtId="3" fontId="13" fillId="9" borderId="93" xfId="16" applyFont="1" applyFill="1" applyBorder="1" applyAlignment="1">
      <alignment horizontal="left" vertical="center"/>
    </xf>
    <xf numFmtId="6" fontId="13" fillId="9" borderId="94" xfId="21" applyNumberFormat="1" applyFont="1" applyFill="1" applyBorder="1" applyAlignment="1">
      <alignment horizontal="right" vertical="center"/>
    </xf>
    <xf numFmtId="174" fontId="13" fillId="9" borderId="96" xfId="19" applyFont="1" applyFill="1" applyBorder="1" applyAlignment="1">
      <alignment horizontal="left" vertical="top" wrapText="1"/>
      <protection locked="0"/>
    </xf>
    <xf numFmtId="6" fontId="13" fillId="9" borderId="95" xfId="21" applyNumberFormat="1" applyFont="1" applyFill="1" applyBorder="1" applyAlignment="1">
      <alignment vertical="center"/>
    </xf>
    <xf numFmtId="1" fontId="13" fillId="9" borderId="97" xfId="21" applyNumberFormat="1" applyFont="1" applyFill="1" applyBorder="1" applyAlignment="1">
      <alignment vertical="center"/>
    </xf>
    <xf numFmtId="0" fontId="26" fillId="9" borderId="0" xfId="0" applyFont="1" applyFill="1" applyAlignment="1">
      <alignment horizontal="left"/>
    </xf>
    <xf numFmtId="0" fontId="71" fillId="9" borderId="49" xfId="0" applyFont="1" applyFill="1" applyBorder="1" applyAlignment="1">
      <alignment horizontal="left"/>
    </xf>
    <xf numFmtId="0" fontId="71" fillId="9" borderId="0" xfId="0" applyFont="1" applyFill="1" applyBorder="1" applyAlignment="1">
      <alignment horizontal="left"/>
    </xf>
    <xf numFmtId="0" fontId="71" fillId="9" borderId="90" xfId="0" applyFont="1" applyFill="1" applyBorder="1" applyAlignment="1">
      <alignment horizontal="left"/>
    </xf>
    <xf numFmtId="37" fontId="6" fillId="9" borderId="0" xfId="0" applyNumberFormat="1" applyFont="1" applyFill="1" applyBorder="1" applyAlignment="1" applyProtection="1">
      <alignment horizontal="center"/>
    </xf>
    <xf numFmtId="0" fontId="12" fillId="9" borderId="49" xfId="0" applyFont="1" applyFill="1" applyBorder="1"/>
    <xf numFmtId="0" fontId="12" fillId="9" borderId="49" xfId="0" applyFont="1" applyFill="1" applyBorder="1" applyAlignment="1">
      <alignment horizontal="left"/>
    </xf>
    <xf numFmtId="0" fontId="58" fillId="9" borderId="0" xfId="6" applyFont="1" applyFill="1"/>
    <xf numFmtId="0" fontId="56" fillId="9" borderId="0" xfId="25" applyFont="1" applyFill="1"/>
    <xf numFmtId="0" fontId="58" fillId="9" borderId="0" xfId="6" applyFont="1" applyFill="1" applyBorder="1"/>
    <xf numFmtId="10" fontId="56" fillId="9" borderId="0" xfId="25" applyNumberFormat="1" applyFont="1" applyFill="1"/>
    <xf numFmtId="172" fontId="56" fillId="9" borderId="0" xfId="25" applyNumberFormat="1" applyFont="1" applyFill="1"/>
    <xf numFmtId="0" fontId="12" fillId="9" borderId="0" xfId="25" applyFont="1" applyFill="1" applyBorder="1"/>
    <xf numFmtId="4" fontId="12" fillId="9" borderId="0" xfId="25" applyNumberFormat="1" applyFont="1" applyFill="1" applyBorder="1" applyAlignment="1">
      <alignment horizontal="right"/>
    </xf>
    <xf numFmtId="0" fontId="57" fillId="9" borderId="0" xfId="25" applyFont="1" applyFill="1" applyAlignment="1">
      <alignment horizontal="center"/>
    </xf>
    <xf numFmtId="4" fontId="57" fillId="9" borderId="0" xfId="25" applyNumberFormat="1" applyFont="1" applyFill="1"/>
    <xf numFmtId="0" fontId="57" fillId="9" borderId="0" xfId="25" applyFont="1" applyFill="1"/>
    <xf numFmtId="0" fontId="56" fillId="9" borderId="0" xfId="25" applyFont="1" applyFill="1" applyBorder="1"/>
    <xf numFmtId="168" fontId="13" fillId="9" borderId="0" xfId="6" applyNumberFormat="1" applyFont="1" applyFill="1" applyBorder="1"/>
    <xf numFmtId="0" fontId="13" fillId="9" borderId="30" xfId="6" applyFont="1" applyFill="1" applyBorder="1"/>
    <xf numFmtId="0" fontId="13" fillId="9" borderId="32" xfId="6" applyFont="1" applyFill="1" applyBorder="1"/>
    <xf numFmtId="0" fontId="13" fillId="9" borderId="21" xfId="6" applyFont="1" applyFill="1" applyBorder="1"/>
    <xf numFmtId="10" fontId="13" fillId="9" borderId="38" xfId="20" applyNumberFormat="1" applyFont="1" applyFill="1" applyBorder="1"/>
    <xf numFmtId="14" fontId="13" fillId="9" borderId="0" xfId="6" applyNumberFormat="1" applyFont="1" applyFill="1" applyBorder="1"/>
    <xf numFmtId="0" fontId="13" fillId="9" borderId="5" xfId="6" applyFont="1" applyFill="1" applyBorder="1"/>
    <xf numFmtId="0" fontId="13" fillId="9" borderId="0" xfId="6" applyFont="1" applyFill="1" applyBorder="1"/>
    <xf numFmtId="10" fontId="13" fillId="9" borderId="4" xfId="20" applyNumberFormat="1" applyFont="1" applyFill="1" applyBorder="1"/>
    <xf numFmtId="171" fontId="13" fillId="9" borderId="0" xfId="7" applyNumberFormat="1" applyFont="1" applyFill="1" applyBorder="1"/>
    <xf numFmtId="0" fontId="13" fillId="9" borderId="0" xfId="6" applyFont="1" applyFill="1" applyBorder="1" applyAlignment="1">
      <alignment horizontal="right"/>
    </xf>
    <xf numFmtId="171" fontId="13" fillId="9" borderId="0" xfId="6" applyNumberFormat="1" applyFont="1" applyFill="1" applyBorder="1"/>
    <xf numFmtId="0" fontId="13" fillId="9" borderId="6" xfId="6" applyFont="1" applyFill="1" applyBorder="1"/>
    <xf numFmtId="0" fontId="13" fillId="9" borderId="1" xfId="6" applyFont="1" applyFill="1" applyBorder="1"/>
    <xf numFmtId="0" fontId="13" fillId="9" borderId="44" xfId="6" applyFont="1" applyFill="1" applyBorder="1"/>
    <xf numFmtId="10" fontId="13" fillId="9" borderId="7" xfId="20" applyNumberFormat="1" applyFont="1" applyFill="1" applyBorder="1"/>
    <xf numFmtId="170" fontId="13" fillId="9" borderId="0" xfId="6" applyNumberFormat="1" applyFont="1" applyFill="1" applyBorder="1"/>
    <xf numFmtId="0" fontId="12" fillId="9" borderId="8" xfId="6" applyFont="1" applyFill="1" applyBorder="1"/>
    <xf numFmtId="0" fontId="12" fillId="9" borderId="9" xfId="6" applyFont="1" applyFill="1" applyBorder="1"/>
    <xf numFmtId="10" fontId="12" fillId="9" borderId="10" xfId="6" applyNumberFormat="1" applyFont="1" applyFill="1" applyBorder="1"/>
    <xf numFmtId="0" fontId="13" fillId="9" borderId="0" xfId="6" applyFont="1" applyFill="1"/>
    <xf numFmtId="0" fontId="12" fillId="9" borderId="1" xfId="6" applyFont="1" applyFill="1" applyBorder="1"/>
    <xf numFmtId="0" fontId="12" fillId="9" borderId="1" xfId="6" applyFont="1" applyFill="1" applyBorder="1" applyAlignment="1">
      <alignment horizontal="right"/>
    </xf>
    <xf numFmtId="0" fontId="71" fillId="9" borderId="0" xfId="34" applyFont="1" applyFill="1"/>
    <xf numFmtId="0" fontId="73" fillId="9" borderId="0" xfId="34" applyFont="1" applyFill="1"/>
    <xf numFmtId="0" fontId="71" fillId="9" borderId="0" xfId="34" applyFont="1" applyFill="1" applyAlignment="1">
      <alignment horizontal="right" vertical="top"/>
    </xf>
    <xf numFmtId="0" fontId="71" fillId="9" borderId="0" xfId="34" applyFont="1" applyFill="1" applyAlignment="1">
      <alignment wrapText="1"/>
    </xf>
    <xf numFmtId="0" fontId="71" fillId="9" borderId="0" xfId="34" applyFont="1" applyFill="1" applyAlignment="1">
      <alignment horizontal="right"/>
    </xf>
    <xf numFmtId="0" fontId="74" fillId="5" borderId="98" xfId="34" applyFont="1" applyFill="1" applyBorder="1" applyAlignment="1">
      <alignment horizontal="left"/>
    </xf>
    <xf numFmtId="0" fontId="37" fillId="9" borderId="0" xfId="34" applyFont="1" applyFill="1" applyAlignment="1"/>
    <xf numFmtId="0" fontId="37" fillId="9" borderId="0" xfId="34" applyFont="1" applyFill="1" applyAlignment="1">
      <alignment horizontal="left"/>
    </xf>
    <xf numFmtId="0" fontId="76" fillId="0" borderId="0" xfId="35" applyFont="1"/>
    <xf numFmtId="3" fontId="13" fillId="9" borderId="0" xfId="0" applyNumberFormat="1" applyFont="1" applyFill="1" applyBorder="1" applyAlignment="1">
      <alignment horizontal="right"/>
    </xf>
    <xf numFmtId="3" fontId="16" fillId="9" borderId="0" xfId="0" applyNumberFormat="1" applyFont="1" applyFill="1" applyBorder="1" applyAlignment="1">
      <alignment horizontal="center"/>
    </xf>
    <xf numFmtId="41" fontId="49" fillId="0" borderId="0" xfId="0" applyNumberFormat="1" applyFont="1" applyBorder="1" applyAlignment="1">
      <alignment horizontal="right"/>
    </xf>
    <xf numFmtId="0" fontId="21" fillId="9" borderId="62" xfId="0" applyFont="1" applyFill="1" applyBorder="1" applyAlignment="1" applyProtection="1"/>
    <xf numFmtId="0" fontId="16" fillId="9" borderId="62" xfId="0" applyFont="1" applyFill="1" applyBorder="1" applyAlignment="1">
      <alignment horizontal="right"/>
    </xf>
    <xf numFmtId="43" fontId="10" fillId="9" borderId="62" xfId="0" applyNumberFormat="1" applyFont="1" applyFill="1" applyBorder="1" applyAlignment="1" applyProtection="1">
      <alignment horizontal="right"/>
    </xf>
    <xf numFmtId="43" fontId="10" fillId="9" borderId="62" xfId="0" applyNumberFormat="1" applyFont="1" applyFill="1" applyBorder="1" applyAlignment="1" applyProtection="1"/>
    <xf numFmtId="0" fontId="22" fillId="0" borderId="100" xfId="0" applyFont="1" applyBorder="1" applyAlignment="1" applyProtection="1">
      <alignment horizontal="right"/>
    </xf>
    <xf numFmtId="0" fontId="22" fillId="9" borderId="100" xfId="0" applyFont="1" applyFill="1" applyBorder="1" applyAlignment="1" applyProtection="1">
      <alignment horizontal="right"/>
    </xf>
    <xf numFmtId="168" fontId="5" fillId="0" borderId="100" xfId="2" applyNumberFormat="1" applyFont="1" applyFill="1" applyBorder="1" applyAlignment="1" applyProtection="1">
      <alignment horizontal="right"/>
    </xf>
    <xf numFmtId="169" fontId="44" fillId="9" borderId="100" xfId="1" applyNumberFormat="1" applyFont="1" applyFill="1" applyBorder="1" applyProtection="1"/>
    <xf numFmtId="0" fontId="44" fillId="9" borderId="100" xfId="0" applyFont="1" applyFill="1" applyBorder="1" applyProtection="1"/>
    <xf numFmtId="168" fontId="30" fillId="0" borderId="100" xfId="2" applyNumberFormat="1" applyFont="1" applyFill="1" applyBorder="1" applyAlignment="1" applyProtection="1">
      <alignment horizontal="right"/>
    </xf>
    <xf numFmtId="9" fontId="44" fillId="9" borderId="100" xfId="0" applyNumberFormat="1" applyFont="1" applyFill="1" applyBorder="1" applyProtection="1"/>
    <xf numFmtId="41" fontId="49" fillId="0" borderId="99" xfId="0" applyNumberFormat="1" applyFont="1" applyBorder="1" applyAlignment="1">
      <alignment horizontal="right"/>
    </xf>
    <xf numFmtId="0" fontId="21" fillId="9" borderId="62" xfId="0" applyFont="1" applyFill="1" applyBorder="1" applyAlignment="1" applyProtection="1">
      <alignment horizontal="right"/>
    </xf>
    <xf numFmtId="0" fontId="43" fillId="9" borderId="62" xfId="0" applyFont="1" applyFill="1" applyBorder="1" applyAlignment="1">
      <alignment horizontal="right"/>
    </xf>
    <xf numFmtId="0" fontId="43" fillId="9" borderId="62" xfId="0" applyFont="1" applyFill="1" applyBorder="1" applyAlignment="1"/>
    <xf numFmtId="7" fontId="30" fillId="9" borderId="100" xfId="0" applyNumberFormat="1" applyFont="1" applyFill="1" applyBorder="1" applyProtection="1"/>
    <xf numFmtId="0" fontId="30" fillId="9" borderId="100" xfId="0" applyFont="1" applyFill="1" applyBorder="1" applyProtection="1"/>
    <xf numFmtId="168" fontId="15" fillId="0" borderId="100" xfId="2" applyNumberFormat="1" applyFont="1" applyFill="1" applyBorder="1" applyAlignment="1" applyProtection="1">
      <alignment horizontal="right"/>
    </xf>
    <xf numFmtId="0" fontId="3" fillId="9" borderId="62" xfId="0" applyFont="1" applyFill="1" applyBorder="1" applyAlignment="1">
      <alignment horizontal="right"/>
    </xf>
    <xf numFmtId="0" fontId="3" fillId="9" borderId="62" xfId="0" applyFont="1" applyFill="1" applyBorder="1" applyAlignment="1"/>
    <xf numFmtId="0" fontId="30" fillId="9" borderId="100" xfId="0" applyFont="1" applyFill="1" applyBorder="1" applyAlignment="1" applyProtection="1">
      <alignment horizontal="right"/>
    </xf>
    <xf numFmtId="169" fontId="5" fillId="0" borderId="100" xfId="0" applyNumberFormat="1" applyFont="1" applyFill="1" applyBorder="1" applyAlignment="1" applyProtection="1">
      <alignment horizontal="right"/>
    </xf>
    <xf numFmtId="0" fontId="7" fillId="9" borderId="100" xfId="0" applyFont="1" applyFill="1" applyBorder="1" applyProtection="1"/>
    <xf numFmtId="169" fontId="15" fillId="0" borderId="100" xfId="0" applyNumberFormat="1" applyFont="1" applyFill="1" applyBorder="1" applyAlignment="1" applyProtection="1">
      <alignment horizontal="right"/>
    </xf>
    <xf numFmtId="0" fontId="10" fillId="9" borderId="62" xfId="0" applyFont="1" applyFill="1" applyBorder="1" applyAlignment="1" applyProtection="1">
      <alignment horizontal="right"/>
    </xf>
    <xf numFmtId="0" fontId="10" fillId="9" borderId="62" xfId="0" applyFont="1" applyFill="1" applyBorder="1" applyAlignment="1" applyProtection="1"/>
    <xf numFmtId="5" fontId="12" fillId="9" borderId="100" xfId="0" applyNumberFormat="1" applyFont="1" applyFill="1" applyBorder="1" applyAlignment="1">
      <alignment horizontal="right"/>
    </xf>
    <xf numFmtId="0" fontId="12" fillId="9" borderId="100" xfId="0" applyFont="1" applyFill="1" applyBorder="1" applyAlignment="1">
      <alignment horizontal="right"/>
    </xf>
    <xf numFmtId="5" fontId="49" fillId="9" borderId="100" xfId="0" applyNumberFormat="1" applyFont="1" applyFill="1" applyBorder="1" applyAlignment="1">
      <alignment horizontal="right"/>
    </xf>
    <xf numFmtId="5" fontId="24" fillId="9" borderId="62" xfId="0" applyNumberFormat="1" applyFont="1" applyFill="1" applyBorder="1" applyAlignment="1">
      <alignment horizontal="right"/>
    </xf>
    <xf numFmtId="5" fontId="24" fillId="9" borderId="62" xfId="0" applyNumberFormat="1" applyFont="1" applyFill="1" applyBorder="1" applyAlignment="1"/>
    <xf numFmtId="5" fontId="12" fillId="0" borderId="100" xfId="0" applyNumberFormat="1" applyFont="1" applyFill="1" applyBorder="1" applyAlignment="1">
      <alignment horizontal="right"/>
    </xf>
    <xf numFmtId="5" fontId="49" fillId="0" borderId="100" xfId="0" applyNumberFormat="1" applyFont="1" applyFill="1" applyBorder="1" applyAlignment="1">
      <alignment horizontal="right"/>
    </xf>
    <xf numFmtId="41" fontId="5" fillId="0" borderId="100" xfId="2" applyNumberFormat="1" applyFont="1" applyFill="1" applyBorder="1" applyAlignment="1" applyProtection="1">
      <alignment horizontal="right"/>
    </xf>
    <xf numFmtId="5" fontId="30" fillId="0" borderId="100" xfId="2" applyNumberFormat="1" applyFont="1" applyFill="1" applyBorder="1" applyAlignment="1" applyProtection="1">
      <alignment horizontal="right"/>
    </xf>
    <xf numFmtId="9" fontId="10" fillId="9" borderId="100" xfId="5" applyFont="1" applyFill="1" applyBorder="1" applyProtection="1"/>
    <xf numFmtId="0" fontId="22" fillId="9" borderId="62" xfId="0" applyFont="1" applyFill="1" applyBorder="1" applyAlignment="1" applyProtection="1">
      <alignment horizontal="right"/>
    </xf>
    <xf numFmtId="168" fontId="5" fillId="0" borderId="54" xfId="0" applyNumberFormat="1" applyFont="1" applyFill="1" applyBorder="1" applyAlignment="1" applyProtection="1">
      <alignment horizontal="right"/>
    </xf>
    <xf numFmtId="0" fontId="9" fillId="9" borderId="62" xfId="0" applyFont="1" applyFill="1" applyBorder="1" applyProtection="1"/>
    <xf numFmtId="168" fontId="30" fillId="0" borderId="54" xfId="0" applyNumberFormat="1" applyFont="1" applyFill="1" applyBorder="1" applyAlignment="1" applyProtection="1">
      <alignment horizontal="right"/>
    </xf>
    <xf numFmtId="9" fontId="10" fillId="9" borderId="62" xfId="5" applyFont="1" applyFill="1" applyBorder="1" applyProtection="1"/>
    <xf numFmtId="0" fontId="9" fillId="9" borderId="100" xfId="0" applyFont="1" applyFill="1" applyBorder="1" applyProtection="1"/>
    <xf numFmtId="41" fontId="16" fillId="9" borderId="100" xfId="0" applyNumberFormat="1" applyFont="1" applyFill="1" applyBorder="1" applyAlignment="1">
      <alignment horizontal="right"/>
    </xf>
    <xf numFmtId="5" fontId="44" fillId="9" borderId="100" xfId="0" applyNumberFormat="1" applyFont="1" applyFill="1" applyBorder="1" applyAlignment="1" applyProtection="1">
      <alignment horizontal="right"/>
    </xf>
    <xf numFmtId="0" fontId="3" fillId="9" borderId="100" xfId="0" applyFont="1" applyFill="1" applyBorder="1"/>
    <xf numFmtId="0" fontId="43" fillId="9" borderId="100" xfId="0" applyFont="1" applyFill="1" applyBorder="1" applyAlignment="1">
      <alignment horizontal="right"/>
    </xf>
    <xf numFmtId="0" fontId="44" fillId="9" borderId="0" xfId="5" applyNumberFormat="1" applyFont="1" applyFill="1" applyBorder="1" applyProtection="1"/>
    <xf numFmtId="0" fontId="71" fillId="9" borderId="0" xfId="34" applyFont="1" applyFill="1" applyAlignment="1">
      <alignment horizontal="left" wrapText="1"/>
    </xf>
    <xf numFmtId="0" fontId="71" fillId="9" borderId="0" xfId="34" applyFont="1" applyFill="1" applyAlignment="1">
      <alignment horizontal="left"/>
    </xf>
    <xf numFmtId="0" fontId="28" fillId="9" borderId="0" xfId="34" applyFont="1" applyFill="1" applyAlignment="1">
      <alignment horizontal="left" wrapText="1"/>
    </xf>
    <xf numFmtId="0" fontId="3" fillId="9" borderId="0" xfId="0" applyFont="1" applyFill="1" applyAlignment="1">
      <alignment wrapText="1"/>
    </xf>
    <xf numFmtId="0" fontId="0" fillId="9" borderId="0" xfId="0" applyFill="1" applyAlignment="1">
      <alignment wrapText="1"/>
    </xf>
    <xf numFmtId="0" fontId="71" fillId="9" borderId="49" xfId="0" applyFont="1" applyFill="1" applyBorder="1" applyAlignment="1">
      <alignment horizontal="left"/>
    </xf>
    <xf numFmtId="41" fontId="43" fillId="0" borderId="56" xfId="0" applyNumberFormat="1" applyFont="1" applyBorder="1" applyAlignment="1">
      <alignment horizontal="center"/>
    </xf>
    <xf numFmtId="41" fontId="43" fillId="0" borderId="49" xfId="0" applyNumberFormat="1" applyFont="1" applyBorder="1" applyAlignment="1">
      <alignment horizontal="center"/>
    </xf>
    <xf numFmtId="41" fontId="43" fillId="0" borderId="57" xfId="0" applyNumberFormat="1" applyFont="1" applyBorder="1" applyAlignment="1">
      <alignment horizontal="center"/>
    </xf>
    <xf numFmtId="41" fontId="43" fillId="0" borderId="0" xfId="0" applyNumberFormat="1" applyFont="1" applyAlignment="1">
      <alignment wrapText="1"/>
    </xf>
    <xf numFmtId="37" fontId="6" fillId="5" borderId="54" xfId="0" applyNumberFormat="1" applyFont="1" applyFill="1" applyBorder="1" applyAlignment="1" applyProtection="1">
      <alignment horizontal="left"/>
    </xf>
    <xf numFmtId="37" fontId="6" fillId="5" borderId="55" xfId="0" applyNumberFormat="1" applyFont="1" applyFill="1" applyBorder="1" applyAlignment="1" applyProtection="1">
      <alignment horizontal="left"/>
    </xf>
    <xf numFmtId="0" fontId="6" fillId="5" borderId="54" xfId="0" applyNumberFormat="1" applyFont="1" applyFill="1" applyBorder="1" applyAlignment="1" applyProtection="1">
      <alignment horizontal="left"/>
    </xf>
    <xf numFmtId="0" fontId="6" fillId="5" borderId="55" xfId="0" applyNumberFormat="1" applyFont="1" applyFill="1" applyBorder="1" applyAlignment="1" applyProtection="1">
      <alignment horizontal="left"/>
    </xf>
    <xf numFmtId="0" fontId="26" fillId="9" borderId="0" xfId="0" applyFont="1" applyFill="1" applyAlignment="1">
      <alignment horizontal="left"/>
    </xf>
    <xf numFmtId="5" fontId="5" fillId="0" borderId="49" xfId="0" applyNumberFormat="1" applyFont="1" applyBorder="1" applyAlignment="1" applyProtection="1">
      <alignment horizontal="right"/>
    </xf>
    <xf numFmtId="5" fontId="5" fillId="0" borderId="57" xfId="0" applyNumberFormat="1" applyFont="1" applyBorder="1" applyAlignment="1" applyProtection="1">
      <alignment horizontal="right"/>
    </xf>
    <xf numFmtId="0" fontId="13" fillId="9" borderId="0" xfId="25" applyFont="1" applyFill="1" applyAlignment="1">
      <alignment wrapText="1"/>
    </xf>
    <xf numFmtId="0" fontId="24" fillId="0" borderId="0" xfId="25" applyFont="1" applyFill="1" applyAlignment="1">
      <alignment horizontal="center" vertical="center" wrapText="1"/>
    </xf>
    <xf numFmtId="0" fontId="24" fillId="0" borderId="35" xfId="25" applyFont="1" applyFill="1" applyBorder="1" applyAlignment="1">
      <alignment horizontal="center" vertical="center" wrapText="1"/>
    </xf>
    <xf numFmtId="0" fontId="26" fillId="9" borderId="0" xfId="6" applyFont="1" applyFill="1" applyBorder="1" applyAlignment="1">
      <alignment horizontal="left"/>
    </xf>
  </cellXfs>
  <cellStyles count="36">
    <cellStyle name="Comma" xfId="1" builtinId="3"/>
    <cellStyle name="Comma 2" xfId="7"/>
    <cellStyle name="Comma 3" xfId="17"/>
    <cellStyle name="Comma 4" xfId="26"/>
    <cellStyle name="Command" xfId="14"/>
    <cellStyle name="company" xfId="12"/>
    <cellStyle name="Currency" xfId="2" builtinId="4"/>
    <cellStyle name="Currency [0] 2" xfId="28"/>
    <cellStyle name="Currency 2" xfId="8"/>
    <cellStyle name="Currency 3" xfId="21"/>
    <cellStyle name="Currency 3 2" xfId="33"/>
    <cellStyle name="Currency 4" xfId="30"/>
    <cellStyle name="drop down" xfId="19"/>
    <cellStyle name="Header" xfId="13"/>
    <cellStyle name="Header 2" xfId="27"/>
    <cellStyle name="Hyperlink" xfId="35" builtinId="8"/>
    <cellStyle name="input cells" xfId="15"/>
    <cellStyle name="Normal" xfId="0" builtinId="0"/>
    <cellStyle name="Normal 2" xfId="3"/>
    <cellStyle name="Normal 2 2" xfId="10"/>
    <cellStyle name="Normal 3" xfId="11"/>
    <cellStyle name="Normal 3 2" xfId="6"/>
    <cellStyle name="Normal 4" xfId="25"/>
    <cellStyle name="Normal 4 2" xfId="32"/>
    <cellStyle name="Normal 5" xfId="29"/>
    <cellStyle name="Normal 6" xfId="34"/>
    <cellStyle name="Normal_coop sale price analysis v2" xfId="4"/>
    <cellStyle name="Note 2" xfId="22"/>
    <cellStyle name="Percent" xfId="5" builtinId="5"/>
    <cellStyle name="Percent 2" xfId="9"/>
    <cellStyle name="Percent 3" xfId="20"/>
    <cellStyle name="Percent 3 2" xfId="31"/>
    <cellStyle name="Subtotal" xfId="16"/>
    <cellStyle name="text cells" xfId="18"/>
    <cellStyle name="Top Line_less complicated amort model(1)" xfId="24"/>
    <cellStyle name="Total 2" xfId="23"/>
  </cellStyles>
  <dxfs count="2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FFFFCC"/>
      <color rgb="FFCCFFFF"/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590550</xdr:colOff>
      <xdr:row>4</xdr:row>
      <xdr:rowOff>152400</xdr:rowOff>
    </xdr:from>
    <xdr:ext cx="3876674" cy="43815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36FE22F-0307-4353-8016-1E01CBFD5DDF}"/>
            </a:ext>
          </a:extLst>
        </xdr:cNvPr>
        <xdr:cNvSpPr txBox="1"/>
      </xdr:nvSpPr>
      <xdr:spPr>
        <a:xfrm>
          <a:off x="590550" y="876300"/>
          <a:ext cx="3876674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 cap="all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Andrew m. cuomo</a:t>
          </a:r>
          <a:r>
            <a:rPr lang="en-US" sz="1100" b="1" cap="all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</a:t>
          </a:r>
          <a:r>
            <a:rPr lang="en-US" sz="1100" b="1" cap="all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RUTHANNE VISNAUSKAS</a:t>
          </a:r>
          <a:endParaRPr lang="en-US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Governor 	</a:t>
          </a:r>
          <a:r>
            <a:rPr lang="en-US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    </a:t>
          </a:r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Commissioner/CEO</a:t>
          </a:r>
        </a:p>
        <a:p>
          <a:endParaRPr lang="en-US" sz="1200" b="1" u="non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  <xdr:twoCellAnchor editAs="oneCell">
    <xdr:from>
      <xdr:col>0</xdr:col>
      <xdr:colOff>676274</xdr:colOff>
      <xdr:row>1</xdr:row>
      <xdr:rowOff>0</xdr:rowOff>
    </xdr:from>
    <xdr:to>
      <xdr:col>5</xdr:col>
      <xdr:colOff>495299</xdr:colOff>
      <xdr:row>4</xdr:row>
      <xdr:rowOff>81915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322778F-3475-44A9-83F2-A3CDCD63DED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6274" y="180975"/>
          <a:ext cx="3629025" cy="6248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2" name="Text 74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3657600" y="222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200" b="0" i="1" strike="noStrike">
              <a:solidFill>
                <a:srgbClr val="000000"/>
              </a:solidFill>
              <a:latin typeface="Arial"/>
              <a:cs typeface="Arial"/>
            </a:rPr>
            <a:t>Note: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Column D text options for Soft Costs include: </a:t>
          </a:r>
          <a:r>
            <a:rPr lang="en-US" sz="1200" b="0" i="1" strike="noStrike">
              <a:solidFill>
                <a:srgbClr val="000000"/>
              </a:solidFill>
              <a:latin typeface="Arial"/>
              <a:cs typeface="Arial"/>
            </a:rPr>
            <a:t>"total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200" b="0" i="1" strike="noStrike">
              <a:solidFill>
                <a:srgbClr val="000000"/>
              </a:solidFill>
              <a:latin typeface="Arial"/>
              <a:cs typeface="Arial"/>
            </a:rPr>
            <a:t>project cost"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and </a:t>
          </a:r>
          <a:r>
            <a:rPr lang="en-US" sz="1200" b="0" i="1" strike="noStrike">
              <a:solidFill>
                <a:srgbClr val="000000"/>
              </a:solidFill>
              <a:latin typeface="Arial"/>
              <a:cs typeface="Arial"/>
            </a:rPr>
            <a:t>"per square foot"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.  Column H automatically adjusts according to the text entered into column D.   Any other text entered into column D will yield a null value in Column H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 fPrintsWithSheet="0"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3" name="Text 75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3657600" y="222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200" b="0" i="1" strike="noStrike">
              <a:solidFill>
                <a:srgbClr val="000000"/>
              </a:solidFill>
              <a:latin typeface="Arial"/>
              <a:cs typeface="Arial"/>
            </a:rPr>
            <a:t>Note: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Column D text options for Operating Expenses include: </a:t>
          </a:r>
          <a:r>
            <a:rPr lang="en-US" sz="1200" b="0" i="1" strike="noStrike">
              <a:solidFill>
                <a:srgbClr val="000000"/>
              </a:solidFill>
              <a:latin typeface="Arial"/>
              <a:cs typeface="Arial"/>
            </a:rPr>
            <a:t>"per total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200" b="0" i="1" strike="noStrike">
              <a:solidFill>
                <a:srgbClr val="000000"/>
              </a:solidFill>
              <a:latin typeface="Arial"/>
              <a:cs typeface="Arial"/>
            </a:rPr>
            <a:t>project", "per unit"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and </a:t>
          </a:r>
          <a:r>
            <a:rPr lang="en-US" sz="1200" b="0" i="1" strike="noStrike">
              <a:solidFill>
                <a:srgbClr val="000000"/>
              </a:solidFill>
              <a:latin typeface="Arial"/>
              <a:cs typeface="Arial"/>
            </a:rPr>
            <a:t>"per square foot"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.  Column H automatically adjusts according to the text entered into column D.   Any other text entered into column D will yield a null value in Column H.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Use the Alternate Inflation Rate for those line items whose inflation rate is expected to vary from the standard Operating Expense Inflation Rate, entered below.</a:t>
          </a:r>
        </a:p>
      </xdr:txBody>
    </xdr:sp>
    <xdr:clientData fPrintsWithSheet="0"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4" name="Text 76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3657600" y="222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1" strike="noStrike">
              <a:solidFill>
                <a:srgbClr val="000000"/>
              </a:solidFill>
              <a:latin typeface="Arial"/>
              <a:cs typeface="Arial"/>
            </a:rPr>
            <a:t>Note: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Column D text options for Land Acquisition/Pre-Development Expenses include:</a:t>
          </a:r>
          <a:r>
            <a:rPr lang="en-US" sz="1200" b="0" i="1" strike="noStrike">
              <a:solidFill>
                <a:srgbClr val="000000"/>
              </a:solidFill>
              <a:latin typeface="Arial"/>
              <a:cs typeface="Arial"/>
            </a:rPr>
            <a:t>"per total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200" b="0" i="1" strike="noStrike">
              <a:solidFill>
                <a:srgbClr val="000000"/>
              </a:solidFill>
              <a:latin typeface="Arial"/>
              <a:cs typeface="Arial"/>
            </a:rPr>
            <a:t>project", "per unit"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and </a:t>
          </a:r>
          <a:r>
            <a:rPr lang="en-US" sz="1200" b="0" i="1" strike="noStrike">
              <a:solidFill>
                <a:srgbClr val="000000"/>
              </a:solidFill>
              <a:latin typeface="Arial"/>
              <a:cs typeface="Arial"/>
            </a:rPr>
            <a:t>"per square foot"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.  Column H automatically adjusts according to the text entered into column D.   Any other text entered into column D will yield a null value in Column H.</a:t>
          </a:r>
        </a:p>
      </xdr:txBody>
    </xdr:sp>
    <xdr:clientData fPrintsWithSheet="0"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5" name="Text 77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3657600" y="222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1" strike="noStrike">
              <a:solidFill>
                <a:srgbClr val="000000"/>
              </a:solidFill>
              <a:latin typeface="Arial"/>
              <a:cs typeface="Arial"/>
            </a:rPr>
            <a:t>Note: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Column D text options for Improvements include: </a:t>
          </a:r>
          <a:r>
            <a:rPr lang="en-US" sz="1200" b="0" i="1" strike="noStrike">
              <a:solidFill>
                <a:srgbClr val="000000"/>
              </a:solidFill>
              <a:latin typeface="Arial"/>
              <a:cs typeface="Arial"/>
            </a:rPr>
            <a:t>"per total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200" b="0" i="1" strike="noStrike">
              <a:solidFill>
                <a:srgbClr val="000000"/>
              </a:solidFill>
              <a:latin typeface="Arial"/>
              <a:cs typeface="Arial"/>
            </a:rPr>
            <a:t>project", "per unit", and "per gross residential square foot".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Column H automatically adjusts according to the text entered into column D.   Any other text entered into column D will yield a null value in Column H.</a:t>
          </a:r>
        </a:p>
      </xdr:txBody>
    </xdr:sp>
    <xdr:clientData fPrintsWithSheet="0"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6" name="Text 78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3657600" y="222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1" strike="noStrike">
              <a:solidFill>
                <a:srgbClr val="000000"/>
              </a:solidFill>
              <a:latin typeface="Arial"/>
              <a:cs typeface="Arial"/>
            </a:rPr>
            <a:t>Note: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Column D text options for Improvements include: </a:t>
          </a:r>
          <a:r>
            <a:rPr lang="en-US" sz="1200" b="0" i="1" strike="noStrike">
              <a:solidFill>
                <a:srgbClr val="000000"/>
              </a:solidFill>
              <a:latin typeface="Arial"/>
              <a:cs typeface="Arial"/>
            </a:rPr>
            <a:t>"per total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200" b="0" i="1" strike="noStrike">
              <a:solidFill>
                <a:srgbClr val="000000"/>
              </a:solidFill>
              <a:latin typeface="Arial"/>
              <a:cs typeface="Arial"/>
            </a:rPr>
            <a:t>project", "per unit", and "per gross commercial square foot".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Column H automatically adjusts according to the text entered into column D.   Any other text entered into column D will yield a null value in Column H.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PF/JCL/Central%20Tower%20Albany%20NY/Central%20Towers%20FLA_SR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.nyhomes.org\shared\C\Users\kgilmore\AppData\Local\Microsoft\Windows\Temporary%20Internet%20Files\Content.Outlook\CNHSQRK8\WINDOWS\Temporary%20Internet%20Files\Content.IE5\335PUELY\2001%20Series%20C,%20Sept%202001\East%20148th%20Street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HFU/2016/St.%20Barnabas/Underwriting/HFA%20UW%20SBH%206-24-16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P%20for%20OLR%20LBCE%202010.09.24%20UNDERWRITING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9%25%20NSP%20Cluster%202010.09.14%20interest%20alternat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kgilmore/AppData/Local/Microsoft/Windows/Temporary%20Internet%20Files/Content.Outlook/CNHSQRK8/Marcus/Bryant%20Avenue%20HDC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New%20Revised%20Multifamily%20MLS1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HFU/2017/Main%20Street%20ESDC%20ML/Underwriting/Main%20St_HFA%20UW_8_14_17_WIP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.nyhomes.org\shared\C\Users\kgilmore\AppData\Local\Microsoft\Windows\Temporary%20Internet%20Files\Content.Outlook\CNHSQRK8\WINDOWS\Temporary%20Internet%20Files\Content.IE5\335PUELY\PLP--Round%20III\670stan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EV-DNC/NEW%20CONSTRUCTION/Active%20Projects/373%20East%20157th%20Street%20(NCP)/Financing/CP%20Request/FY16%20CP%20Template%20w%20BCQ_E%20157th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estside%20HOPE%20VI%20final%20REVIS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FU/2014/Brighton%20Towers/Underwriting/Old/Brighton%20UW_5_29_14.xlsm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.nyhomes.org\shared\C\Users\kgilmore\AppData\Local\Microsoft\Windows\Temporary%20Internet%20Files\Content.Outlook\CNHSQRK8\Shared\PLP\plp%20shells\Credit%20Memo%20PLP%20Shell%202006%20B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HFU/2009/Selfhelp/Underwriting/Bond%20CF/Selfhelp%20(alt%20sizing)%20Brent%20Sizing%2009-08-09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zabethbieber/Downloads/OLR%20MM%20Apts%208-25-1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misj/Downloads/0_HDC%20Shell%20for%20project%20evaluation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HFU/2014/Brighton%20Towers/Underwriting/Brighton%20Towers_HFA%20Underwriting_values%20only_6_9_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Quote%20Shee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Kimb112999d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eers/Acquisitions/Central%20Towers/HFA%20Application/Tab%2011-14/Central%20Towers_100@60%25_020506%20w-HFA%20tabs%20REV%20Financing%20Cost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Data/Vital%20Brooklyn/RFP/Forms/HFA%20Bond%20Application_Excel%20Version_10.18.17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kgilmore/AppData/Local/Microsoft/Windows/Temporary%20Internet%20Files/Content.Outlook/CNHSQRK8/Documents%20and%20Settings/Sandy%20Rad/Local%20Settings/Temporary%20Internet%20Files/OLK18F/Casablanca%20Houses82806%2075%20k%20in%20subsidy%20(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kgilmore/AppData/Local/Microsoft/Windows/Temporary%20Internet%20Files/Content.Outlook/CNHSQRK8/Users/kgilmore/AppData/Local/Microsoft/Windows/Temporary%20Internet%20Files/Content.Outlook/CNHSQRK8/West%20Farms%20HDC%20DRAFT%200318201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py%20of%20Credit%20Memo%20PLP%20Shell%20New%202008%20v%201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."/>
      <sheetName val="Data"/>
      <sheetName val="Income"/>
      <sheetName val="Spreadsheet"/>
      <sheetName val="TRA sheet"/>
      <sheetName val="Screening "/>
      <sheetName val="Comments"/>
      <sheetName val="CashColl"/>
      <sheetName val="Loan Options"/>
      <sheetName val="Sources &amp; Uses"/>
      <sheetName val="Shelter Rent Analysis"/>
      <sheetName val="Exit Strategy"/>
      <sheetName val="Reserves"/>
      <sheetName val="Immediate Repairs"/>
      <sheetName val="Rent Roll"/>
      <sheetName val="Debt Service"/>
      <sheetName val="Pricing"/>
      <sheetName val="RE TAX Phase-In"/>
      <sheetName val="Commercial leases"/>
      <sheetName val="Borr"/>
      <sheetName val="KeyI"/>
      <sheetName val="REOI"/>
      <sheetName val="KeyII"/>
      <sheetName val="REOII"/>
      <sheetName val="Expenses"/>
      <sheetName val="Summary I"/>
      <sheetName val="Summary II"/>
      <sheetName val="Summary III"/>
      <sheetName val="Signature Page"/>
      <sheetName val="Commitment"/>
      <sheetName val="MCODES"/>
      <sheetName val="Bond "/>
      <sheetName val="Module1"/>
      <sheetName val="Module2"/>
      <sheetName val="Sheet2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 Distrib."/>
      <sheetName val="Sources and Use"/>
      <sheetName val="M and O"/>
      <sheetName val="Mort"/>
      <sheetName val="Devel. Bud"/>
      <sheetName val="Int Calc (LT1st)"/>
      <sheetName val="Tax Credits"/>
      <sheetName val="Unit_Distrib_"/>
      <sheetName val="Sources_and_Use"/>
      <sheetName val="M_and_O"/>
      <sheetName val="Devel__Bud"/>
      <sheetName val="Int_Calc_(LT1st)"/>
      <sheetName val="Tax_Credits"/>
      <sheetName val="Devel_ Bu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Data"/>
      <sheetName val="Revenue Input"/>
      <sheetName val="Operating Expenses "/>
      <sheetName val="Development Budget"/>
      <sheetName val="Financing Assumptions"/>
      <sheetName val="Sources &amp; Uses"/>
      <sheetName val="30 Year CFP"/>
      <sheetName val="Tax Credit Analysis"/>
      <sheetName val="Amortization "/>
      <sheetName val="Fee Schedule"/>
      <sheetName val="Assumptions"/>
      <sheetName val="Income During Rehab"/>
      <sheetName val="Rent Roll"/>
      <sheetName val="Builders Risk"/>
      <sheetName val="MWBE"/>
      <sheetName val="Fees"/>
      <sheetName val="Closing Req"/>
      <sheetName val="Attachment A"/>
      <sheetName val="Macros"/>
    </sheetNames>
    <sheetDataSet>
      <sheetData sheetId="0">
        <row r="5">
          <cell r="D5" t="str">
            <v>St. Barnabas Wellness Care and Affordable Housing</v>
          </cell>
        </row>
        <row r="7">
          <cell r="H7" t="str">
            <v>Albany</v>
          </cell>
          <cell r="J7" t="str">
            <v>Albany-Schenectady-Troy</v>
          </cell>
        </row>
        <row r="8">
          <cell r="H8" t="str">
            <v>Allegany</v>
          </cell>
          <cell r="J8" t="str">
            <v>Binghamton</v>
          </cell>
        </row>
        <row r="9">
          <cell r="H9" t="str">
            <v>Bronx</v>
          </cell>
          <cell r="J9" t="str">
            <v>Buffalo</v>
          </cell>
        </row>
        <row r="10">
          <cell r="H10" t="str">
            <v>Broome</v>
          </cell>
          <cell r="J10" t="str">
            <v>Dutchess County</v>
          </cell>
        </row>
        <row r="11">
          <cell r="H11" t="str">
            <v>Cattaraugus</v>
          </cell>
          <cell r="J11" t="str">
            <v>Glen Falls</v>
          </cell>
        </row>
        <row r="12">
          <cell r="H12" t="str">
            <v>Cayuga</v>
          </cell>
          <cell r="J12" t="str">
            <v>Elmira</v>
          </cell>
        </row>
        <row r="13">
          <cell r="H13" t="str">
            <v>Chautauqua</v>
          </cell>
          <cell r="J13" t="str">
            <v>Jamestown</v>
          </cell>
        </row>
        <row r="14">
          <cell r="H14" t="str">
            <v>Chemung</v>
          </cell>
          <cell r="J14" t="str">
            <v>Nassau-Suffolk</v>
          </cell>
        </row>
        <row r="15">
          <cell r="H15" t="str">
            <v>Chenango</v>
          </cell>
          <cell r="J15" t="str">
            <v>New York City</v>
          </cell>
        </row>
        <row r="16">
          <cell r="H16" t="str">
            <v>Clinton</v>
          </cell>
          <cell r="J16" t="str">
            <v>Newburgh, NY-PA</v>
          </cell>
        </row>
        <row r="17">
          <cell r="H17" t="str">
            <v>Columbia</v>
          </cell>
          <cell r="J17" t="str">
            <v>Rochester</v>
          </cell>
        </row>
        <row r="18">
          <cell r="H18" t="str">
            <v>Cortland</v>
          </cell>
          <cell r="J18" t="str">
            <v>Syracuse</v>
          </cell>
        </row>
        <row r="19">
          <cell r="H19" t="str">
            <v>Delaware</v>
          </cell>
          <cell r="J19" t="str">
            <v>Utica-Rome</v>
          </cell>
        </row>
        <row r="20">
          <cell r="H20" t="str">
            <v>Dutchess</v>
          </cell>
        </row>
        <row r="21">
          <cell r="H21" t="str">
            <v>Erie</v>
          </cell>
        </row>
        <row r="22">
          <cell r="H22" t="str">
            <v>Essex</v>
          </cell>
        </row>
        <row r="23">
          <cell r="H23" t="str">
            <v>Franklin</v>
          </cell>
        </row>
        <row r="24">
          <cell r="H24" t="str">
            <v>Fulton</v>
          </cell>
        </row>
        <row r="25">
          <cell r="H25" t="str">
            <v>Genesee</v>
          </cell>
        </row>
        <row r="26">
          <cell r="H26" t="str">
            <v>Greene</v>
          </cell>
        </row>
        <row r="27">
          <cell r="H27" t="str">
            <v>Hamilton</v>
          </cell>
        </row>
        <row r="28">
          <cell r="H28" t="str">
            <v>Herkimer</v>
          </cell>
        </row>
        <row r="29">
          <cell r="H29" t="str">
            <v>Kings</v>
          </cell>
        </row>
        <row r="30">
          <cell r="H30" t="str">
            <v>Lewis</v>
          </cell>
        </row>
        <row r="31">
          <cell r="H31" t="str">
            <v>Livingston</v>
          </cell>
        </row>
        <row r="32">
          <cell r="H32" t="str">
            <v>Madison</v>
          </cell>
        </row>
        <row r="33">
          <cell r="H33" t="str">
            <v>Monroe</v>
          </cell>
        </row>
        <row r="34">
          <cell r="H34" t="str">
            <v>Montgomery</v>
          </cell>
        </row>
        <row r="35">
          <cell r="H35" t="str">
            <v>Nassau</v>
          </cell>
        </row>
        <row r="36">
          <cell r="H36" t="str">
            <v>New York</v>
          </cell>
        </row>
        <row r="37">
          <cell r="H37" t="str">
            <v>Niagra</v>
          </cell>
        </row>
        <row r="38">
          <cell r="H38" t="str">
            <v>Oneida</v>
          </cell>
        </row>
        <row r="39">
          <cell r="H39" t="str">
            <v>Onondaga</v>
          </cell>
        </row>
        <row r="40">
          <cell r="H40" t="str">
            <v>Ontario</v>
          </cell>
        </row>
        <row r="41">
          <cell r="H41" t="str">
            <v>Orange</v>
          </cell>
        </row>
        <row r="42">
          <cell r="H42" t="str">
            <v>Orleans</v>
          </cell>
        </row>
        <row r="43">
          <cell r="H43" t="str">
            <v>Oswego</v>
          </cell>
        </row>
        <row r="44">
          <cell r="H44" t="str">
            <v>Otsego</v>
          </cell>
        </row>
        <row r="45">
          <cell r="H45" t="str">
            <v>Putnam</v>
          </cell>
        </row>
        <row r="46">
          <cell r="H46" t="str">
            <v>Queens</v>
          </cell>
        </row>
        <row r="47">
          <cell r="H47" t="str">
            <v>Rensselaer</v>
          </cell>
        </row>
        <row r="48">
          <cell r="H48" t="str">
            <v>Richmond</v>
          </cell>
        </row>
        <row r="49">
          <cell r="H49" t="str">
            <v>Rockland</v>
          </cell>
        </row>
        <row r="50">
          <cell r="H50" t="str">
            <v>St. Lawrence</v>
          </cell>
        </row>
        <row r="51">
          <cell r="H51" t="str">
            <v>Saratoga</v>
          </cell>
        </row>
        <row r="52">
          <cell r="H52" t="str">
            <v>Schenectady</v>
          </cell>
        </row>
        <row r="53">
          <cell r="H53" t="str">
            <v>Schoharie</v>
          </cell>
        </row>
        <row r="54">
          <cell r="H54" t="str">
            <v>Schuyler</v>
          </cell>
        </row>
        <row r="55">
          <cell r="H55" t="str">
            <v>Seneca</v>
          </cell>
        </row>
        <row r="56">
          <cell r="H56" t="str">
            <v>Steuben</v>
          </cell>
        </row>
        <row r="57">
          <cell r="H57" t="str">
            <v>Suffolk</v>
          </cell>
        </row>
        <row r="58">
          <cell r="H58" t="str">
            <v>Sullivan</v>
          </cell>
        </row>
        <row r="59">
          <cell r="H59" t="str">
            <v>Tioga</v>
          </cell>
        </row>
        <row r="60">
          <cell r="H60" t="str">
            <v>Tompkins</v>
          </cell>
        </row>
        <row r="61">
          <cell r="H61" t="str">
            <v>Ulster</v>
          </cell>
        </row>
        <row r="62">
          <cell r="H62" t="str">
            <v>Warren</v>
          </cell>
        </row>
        <row r="63">
          <cell r="H63" t="str">
            <v>Washington</v>
          </cell>
        </row>
        <row r="64">
          <cell r="H64" t="str">
            <v>Wayne</v>
          </cell>
        </row>
        <row r="65">
          <cell r="H65" t="str">
            <v>Westchester</v>
          </cell>
        </row>
        <row r="66">
          <cell r="H66" t="str">
            <v>Wyoming</v>
          </cell>
        </row>
        <row r="67">
          <cell r="H67" t="str">
            <v>Yates</v>
          </cell>
        </row>
      </sheetData>
      <sheetData sheetId="1"/>
      <sheetData sheetId="2"/>
      <sheetData sheetId="3"/>
      <sheetData sheetId="4">
        <row r="13">
          <cell r="L13">
            <v>72046875</v>
          </cell>
        </row>
      </sheetData>
      <sheetData sheetId="5"/>
      <sheetData sheetId="6"/>
      <sheetData sheetId="7"/>
      <sheetData sheetId="8"/>
      <sheetData sheetId="9"/>
      <sheetData sheetId="10">
        <row r="9">
          <cell r="G9">
            <v>36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s and Use"/>
      <sheetName val="Devel. Bud"/>
      <sheetName val="Interest"/>
      <sheetName val="Units &amp; Income"/>
      <sheetName val="M and O"/>
      <sheetName val="Mort"/>
      <sheetName val="Cash Flow"/>
      <sheetName val="Tax Credit "/>
      <sheetName val="NSP Eligi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8">
          <cell r="C28">
            <v>46200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s and Use"/>
      <sheetName val="Devel. Bud"/>
      <sheetName val="Interest"/>
      <sheetName val="Units &amp; Income"/>
      <sheetName val="M and O"/>
      <sheetName val="Mort"/>
      <sheetName val="Cash Flow"/>
      <sheetName val="Tax Credit "/>
      <sheetName val="NSP Eligible"/>
    </sheetNames>
    <sheetDataSet>
      <sheetData sheetId="0" refreshError="1"/>
      <sheetData sheetId="1" refreshError="1"/>
      <sheetData sheetId="2" refreshError="1"/>
      <sheetData sheetId="3" refreshError="1">
        <row r="38">
          <cell r="B38">
            <v>154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idge Financing"/>
      <sheetName val="Sources and Use"/>
      <sheetName val="Devel. Bud"/>
      <sheetName val="Cons Int &amp; Neg Arb"/>
      <sheetName val="Units &amp; Income"/>
      <sheetName val="M and O"/>
      <sheetName val="Mort"/>
      <sheetName val="Cash Flow"/>
      <sheetName val="Tax Credit "/>
      <sheetName val="Trade Pmt"/>
      <sheetName val="Fl Area Summary"/>
      <sheetName val="Assumptions"/>
      <sheetName val="Pro Forma Analysis Summary"/>
      <sheetName val="Development Bud"/>
      <sheetName val="Cons Int, Neg Arb, LOC"/>
      <sheetName val="Tax Credits"/>
      <sheetName val="PreDev Budget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folio Choice"/>
      <sheetName val="MLS Information"/>
      <sheetName val="Loan Info Sheet"/>
      <sheetName val="Closing Calculations"/>
      <sheetName val="M L S"/>
      <sheetName val="Notes"/>
      <sheetName val="Estimated Closing Costs"/>
      <sheetName val="Insurance Table"/>
      <sheetName val="Tax Table"/>
      <sheetName val="Actual-360"/>
      <sheetName val="30-360"/>
      <sheetName val="Form 1146"/>
      <sheetName val="Download"/>
      <sheetName val="FN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27">
          <cell r="H127" t="str">
            <v>0.0/0.0/0 T_</v>
          </cell>
        </row>
        <row r="128">
          <cell r="H128" t="str">
            <v>4.8/4.8/2 T4</v>
          </cell>
        </row>
        <row r="129">
          <cell r="H129" t="str">
            <v>5.2/5.2/3 T3</v>
          </cell>
        </row>
        <row r="130">
          <cell r="H130" t="str">
            <v>5.8/5.8/4 T2</v>
          </cell>
        </row>
      </sheetData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Data"/>
      <sheetName val="Revenue Input"/>
      <sheetName val="Attachment A"/>
      <sheetName val="Operating Expenses "/>
      <sheetName val="Financing Assumptions"/>
      <sheetName val="Development Budget"/>
      <sheetName val="30 Year Cash Flow  Proforma"/>
      <sheetName val="Builder Risk Calulation"/>
      <sheetName val="Acquisition Analysis"/>
      <sheetName val="MWBE - NEW FORM"/>
      <sheetName val="Sources &amp; Uses"/>
      <sheetName val="Existing Debt"/>
      <sheetName val="Tax Credit Analysis"/>
      <sheetName val="MWBE Sheet2"/>
      <sheetName val="old MWBE"/>
      <sheetName val="Closing Fees (2)"/>
      <sheetName val="Closing Req"/>
      <sheetName val="Closing Fees"/>
      <sheetName val="Closing Requisition"/>
      <sheetName val="Proforma Assumptions Input"/>
      <sheetName val="Fee Schedule"/>
      <sheetName val="ST Bonds_Amortization"/>
      <sheetName val="IRP_Amortization"/>
      <sheetName val="LT Bonds_Amortization"/>
      <sheetName val="Total_Amortization"/>
      <sheetName val="Amortization "/>
      <sheetName val="Deferred Dev Fee Scenarios"/>
      <sheetName val="Income During Rehab"/>
      <sheetName val="Rent Roll"/>
      <sheetName val="Replacement Reserve Analysis"/>
      <sheetName val="Short Term Bond CF"/>
      <sheetName val="Flow of Funds Analysis"/>
      <sheetName val="Attachment B"/>
      <sheetName val="Macros"/>
    </sheetNames>
    <sheetDataSet>
      <sheetData sheetId="0">
        <row r="5">
          <cell r="D5" t="str">
            <v>Main Street Housing</v>
          </cell>
        </row>
      </sheetData>
      <sheetData sheetId="1">
        <row r="48">
          <cell r="I48">
            <v>50140</v>
          </cell>
          <cell r="W48">
            <v>62</v>
          </cell>
        </row>
        <row r="66">
          <cell r="I66">
            <v>0</v>
          </cell>
        </row>
        <row r="89">
          <cell r="P89">
            <v>181176</v>
          </cell>
        </row>
      </sheetData>
      <sheetData sheetId="2"/>
      <sheetData sheetId="3"/>
      <sheetData sheetId="4"/>
      <sheetData sheetId="5">
        <row r="8">
          <cell r="H8">
            <v>600000</v>
          </cell>
        </row>
        <row r="14">
          <cell r="H14">
            <v>4000000</v>
          </cell>
        </row>
        <row r="153">
          <cell r="H153">
            <v>13020570.246273743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enses"/>
      <sheetName val="Income"/>
      <sheetName val="Loan Info."/>
      <sheetName val="Loan_Info_"/>
      <sheetName val="Unit Distrib."/>
      <sheetName val="Mort"/>
      <sheetName val="Sources and Use"/>
      <sheetName val="Devel. Bud"/>
      <sheetName val="M and O"/>
      <sheetName val="Cash Flow"/>
    </sheetNames>
    <sheetDataSet>
      <sheetData sheetId="0">
        <row r="24">
          <cell r="D24">
            <v>27716.694769230769</v>
          </cell>
        </row>
      </sheetData>
      <sheetData sheetId="1" refreshError="1">
        <row r="24">
          <cell r="D24">
            <v>27716.694769230769</v>
          </cell>
        </row>
      </sheetData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BCQ"/>
      <sheetName val="Development Budget"/>
      <sheetName val="Debt Breakdown "/>
      <sheetName val="M&amp;O"/>
      <sheetName val="Cash Flow"/>
      <sheetName val="Tax Credit Equity"/>
      <sheetName val="421-a Tax Benefit Analysis"/>
      <sheetName val="420-c Tax Benefit Analysis"/>
      <sheetName val="Article XI Tax Benefit Analysis"/>
      <sheetName val="J-51 Tax Benefit Analysis"/>
      <sheetName val="UDAAP Tax Benefit Analysis"/>
      <sheetName val="HDC Bond Paydown Table"/>
      <sheetName val="Program Descri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Fund"/>
      <sheetName val="S&amp;U"/>
      <sheetName val="CF"/>
      <sheetName val="Deprec"/>
      <sheetName val="Analysis"/>
      <sheetName val="Sale"/>
      <sheetName val="Residual"/>
      <sheetName val="UBridge"/>
      <sheetName val="Lower Bridge"/>
      <sheetName val="Lower"/>
      <sheetName val="IRR"/>
      <sheetName val="CASH IRR"/>
      <sheetName val="CASH IRR-1"/>
      <sheetName val="CASH IRR-2"/>
      <sheetName val="CASH IRR-3"/>
      <sheetName val="CASH IRR-4"/>
      <sheetName val="Cash Summ"/>
      <sheetName val="FNMA IRR Model"/>
      <sheetName val="Benefits"/>
      <sheetName val="Split Summ"/>
      <sheetName val="Split"/>
      <sheetName val="704B"/>
      <sheetName val="Con"/>
      <sheetName val="Fund Chart"/>
      <sheetName val="Fix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9">
          <cell r="C59">
            <v>4688221.9999999991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oject Data"/>
      <sheetName val="Revenue Input"/>
      <sheetName val="Attachment A"/>
      <sheetName val="Operating Expense Input"/>
      <sheetName val="Proforma Assumptions Input"/>
      <sheetName val="Development Cost Input"/>
      <sheetName val="Financing Assumptions"/>
      <sheetName val="Sources &amp; Uses"/>
      <sheetName val="15-Year Proforma"/>
      <sheetName val="30-Year Proforma "/>
      <sheetName val="Amortization "/>
      <sheetName val="Tax Credit Analysis"/>
      <sheetName val="Builders Risk"/>
      <sheetName val="Project Summary"/>
      <sheetName val="Unit Type Distribution (Rev.)"/>
      <sheetName val="Rent Roll Input"/>
      <sheetName val="Mortgage Calculation"/>
      <sheetName val="Unit Type Distribution (RR)"/>
      <sheetName val="Maximum Rent Calculation"/>
      <sheetName val=" Const Amort"/>
      <sheetName val=" Perm Amort"/>
      <sheetName val="Amortization"/>
      <sheetName val="ClosingFees (2)"/>
      <sheetName val="Closing Fact Sheet"/>
      <sheetName val="Wire Instruction Worksheet"/>
      <sheetName val="Voucher Income"/>
      <sheetName val="Macros"/>
      <sheetName val="Expense Multiplier Dialog"/>
      <sheetName val="Alt Inflation Rate Dialog"/>
      <sheetName val="Development Cost Dialog"/>
    </sheetNames>
    <sheetDataSet>
      <sheetData sheetId="0"/>
      <sheetData sheetId="1">
        <row r="5">
          <cell r="D5" t="str">
            <v>Brighton Towers</v>
          </cell>
        </row>
        <row r="7">
          <cell r="D7" t="str">
            <v>Syracuse</v>
          </cell>
        </row>
        <row r="43">
          <cell r="R43">
            <v>2</v>
          </cell>
        </row>
        <row r="44">
          <cell r="R44">
            <v>2</v>
          </cell>
        </row>
      </sheetData>
      <sheetData sheetId="2">
        <row r="37">
          <cell r="Q37">
            <v>0</v>
          </cell>
        </row>
      </sheetData>
      <sheetData sheetId="3"/>
      <sheetData sheetId="4"/>
      <sheetData sheetId="5"/>
      <sheetData sheetId="6">
        <row r="20">
          <cell r="H20">
            <v>10218721</v>
          </cell>
        </row>
        <row r="62">
          <cell r="H62">
            <v>16109258</v>
          </cell>
        </row>
        <row r="73">
          <cell r="H73">
            <v>17720183.800000001</v>
          </cell>
        </row>
        <row r="145">
          <cell r="H145">
            <v>677335.37549999997</v>
          </cell>
        </row>
      </sheetData>
      <sheetData sheetId="7"/>
      <sheetData sheetId="8">
        <row r="5">
          <cell r="C5" t="str">
            <v>Syracuse (Onondaga)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I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I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I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I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I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I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I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I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I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I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I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I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I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I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I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I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I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I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I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I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I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I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I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I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I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I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I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I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I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I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I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I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I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I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I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I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I94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I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I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I97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I98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I101">
            <v>0</v>
          </cell>
        </row>
        <row r="102"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I102">
            <v>0</v>
          </cell>
        </row>
        <row r="103"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I103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</row>
        <row r="105"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I105">
            <v>0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I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I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I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I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I114">
            <v>0</v>
          </cell>
        </row>
        <row r="115"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I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I118">
            <v>0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</row>
        <row r="122"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I123">
            <v>0</v>
          </cell>
        </row>
        <row r="124"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I124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I125">
            <v>0</v>
          </cell>
        </row>
        <row r="126"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I126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I127">
            <v>0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I132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I136">
            <v>0</v>
          </cell>
        </row>
        <row r="137"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I137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I141">
            <v>0</v>
          </cell>
        </row>
        <row r="142"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</row>
        <row r="147"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I150">
            <v>0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</row>
        <row r="152"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I152">
            <v>0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</row>
        <row r="158"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I160">
            <v>0</v>
          </cell>
        </row>
        <row r="161"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I161">
            <v>0</v>
          </cell>
        </row>
        <row r="162"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I162">
            <v>0</v>
          </cell>
        </row>
        <row r="163"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I163">
            <v>0</v>
          </cell>
        </row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</row>
        <row r="167"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I168">
            <v>0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I170">
            <v>0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I171">
            <v>0</v>
          </cell>
        </row>
        <row r="172"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</row>
        <row r="173"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I173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</row>
        <row r="176"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I176">
            <v>0</v>
          </cell>
        </row>
        <row r="177"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I177">
            <v>0</v>
          </cell>
        </row>
        <row r="178"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</row>
        <row r="179"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</row>
        <row r="180"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I180">
            <v>0</v>
          </cell>
        </row>
        <row r="181"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I181">
            <v>0</v>
          </cell>
        </row>
        <row r="182"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I182">
            <v>0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</row>
        <row r="184"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</row>
        <row r="185"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</row>
        <row r="186"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I186">
            <v>0</v>
          </cell>
        </row>
        <row r="187"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</row>
        <row r="188"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</row>
        <row r="189"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</row>
        <row r="190"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</row>
        <row r="191"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</row>
        <row r="192"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</row>
        <row r="193"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</row>
        <row r="194"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</row>
        <row r="195"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I195">
            <v>0</v>
          </cell>
        </row>
        <row r="196"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I196">
            <v>0</v>
          </cell>
        </row>
        <row r="197"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I197">
            <v>0</v>
          </cell>
        </row>
        <row r="198"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</row>
        <row r="199"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</row>
        <row r="200"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</row>
        <row r="201"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</row>
        <row r="202"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I202">
            <v>0</v>
          </cell>
        </row>
        <row r="203"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</row>
        <row r="204"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</row>
        <row r="205"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I205">
            <v>0</v>
          </cell>
        </row>
        <row r="206"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I206">
            <v>0</v>
          </cell>
        </row>
        <row r="207"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</row>
        <row r="208"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I208">
            <v>0</v>
          </cell>
        </row>
        <row r="209"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I209">
            <v>0</v>
          </cell>
        </row>
        <row r="210"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I210">
            <v>0</v>
          </cell>
        </row>
        <row r="211"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</row>
        <row r="212"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</row>
        <row r="213"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I213">
            <v>0</v>
          </cell>
        </row>
        <row r="214"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</row>
        <row r="215"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I215">
            <v>0</v>
          </cell>
        </row>
        <row r="216"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</row>
        <row r="217"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</row>
        <row r="218"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</row>
        <row r="219"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</row>
        <row r="220"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I220">
            <v>0</v>
          </cell>
        </row>
        <row r="221"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</row>
        <row r="222"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</row>
        <row r="223"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I223">
            <v>0</v>
          </cell>
        </row>
        <row r="224"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I224">
            <v>0</v>
          </cell>
        </row>
        <row r="225"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I225">
            <v>0</v>
          </cell>
        </row>
        <row r="226"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I227">
            <v>0</v>
          </cell>
        </row>
        <row r="228"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</row>
        <row r="229"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I229">
            <v>0</v>
          </cell>
        </row>
        <row r="230"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</row>
        <row r="231"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I231">
            <v>0</v>
          </cell>
        </row>
        <row r="232"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</row>
        <row r="233"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</row>
        <row r="234"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</row>
        <row r="235"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</row>
        <row r="236"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</row>
        <row r="237"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</row>
        <row r="238"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</row>
        <row r="239"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I239">
            <v>0</v>
          </cell>
        </row>
        <row r="240"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I240">
            <v>0</v>
          </cell>
        </row>
        <row r="241"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I241">
            <v>0</v>
          </cell>
        </row>
        <row r="242"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I242">
            <v>0</v>
          </cell>
        </row>
        <row r="243"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</row>
        <row r="244"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I244">
            <v>0</v>
          </cell>
        </row>
        <row r="245"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</row>
        <row r="246"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I246">
            <v>0</v>
          </cell>
        </row>
        <row r="247"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I247">
            <v>0</v>
          </cell>
        </row>
        <row r="248"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I248">
            <v>0</v>
          </cell>
        </row>
        <row r="249"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I249">
            <v>0</v>
          </cell>
        </row>
        <row r="250"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I250">
            <v>0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I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I252">
            <v>0</v>
          </cell>
        </row>
        <row r="253"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I253">
            <v>0</v>
          </cell>
        </row>
        <row r="254"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</row>
        <row r="255"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</row>
        <row r="256"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</row>
        <row r="257"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I257">
            <v>0</v>
          </cell>
        </row>
        <row r="258"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I258">
            <v>0</v>
          </cell>
        </row>
        <row r="259"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I259">
            <v>0</v>
          </cell>
        </row>
        <row r="260"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I260">
            <v>0</v>
          </cell>
        </row>
        <row r="261"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</row>
        <row r="262"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I262">
            <v>0</v>
          </cell>
        </row>
        <row r="263"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I263">
            <v>0</v>
          </cell>
        </row>
        <row r="264"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I264">
            <v>0</v>
          </cell>
        </row>
        <row r="265"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I265">
            <v>0</v>
          </cell>
        </row>
        <row r="266"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I266">
            <v>0</v>
          </cell>
        </row>
        <row r="267"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I267">
            <v>0</v>
          </cell>
        </row>
        <row r="268"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I268">
            <v>0</v>
          </cell>
        </row>
        <row r="269"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I269">
            <v>0</v>
          </cell>
        </row>
        <row r="270"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</row>
        <row r="271"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</row>
        <row r="272">
          <cell r="D272">
            <v>0</v>
          </cell>
          <cell r="E272">
            <v>0</v>
          </cell>
          <cell r="I272">
            <v>0</v>
          </cell>
        </row>
        <row r="273">
          <cell r="D273">
            <v>0</v>
          </cell>
          <cell r="E273">
            <v>0</v>
          </cell>
        </row>
        <row r="274">
          <cell r="D274">
            <v>0</v>
          </cell>
          <cell r="E274">
            <v>0</v>
          </cell>
        </row>
        <row r="275">
          <cell r="D275">
            <v>0</v>
          </cell>
          <cell r="E275">
            <v>0</v>
          </cell>
        </row>
        <row r="276">
          <cell r="D276">
            <v>0</v>
          </cell>
          <cell r="E276">
            <v>0</v>
          </cell>
        </row>
        <row r="277">
          <cell r="D277">
            <v>0</v>
          </cell>
          <cell r="E277">
            <v>0</v>
          </cell>
        </row>
        <row r="278">
          <cell r="D278">
            <v>0</v>
          </cell>
          <cell r="E278">
            <v>0</v>
          </cell>
        </row>
        <row r="279">
          <cell r="D279">
            <v>0</v>
          </cell>
          <cell r="E279">
            <v>0</v>
          </cell>
        </row>
        <row r="280">
          <cell r="E280">
            <v>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Mem1"/>
      <sheetName val="CMem2"/>
      <sheetName val="Mort"/>
      <sheetName val="Rents"/>
      <sheetName val="I&amp;E"/>
      <sheetName val="I&amp;A"/>
      <sheetName val="IA2"/>
      <sheetName val="Calcs"/>
      <sheetName val="CFA"/>
    </sheetNames>
    <sheetDataSet>
      <sheetData sheetId="0" refreshError="1">
        <row r="75">
          <cell r="M75">
            <v>31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fHelpConst"/>
      <sheetName val="SelfHelp Permanent OMH"/>
      <sheetName val="SelfHelp Total"/>
    </sheetNames>
    <sheetDataSet>
      <sheetData sheetId="0">
        <row r="8">
          <cell r="A8" t="str">
            <v>Period</v>
          </cell>
          <cell r="C8" t="str">
            <v>Payment Reference Date</v>
          </cell>
          <cell r="D8" t="str">
            <v xml:space="preserve">Payment Due HFA             </v>
          </cell>
          <cell r="E8" t="str">
            <v>Principal</v>
          </cell>
          <cell r="F8" t="str">
            <v>Interest</v>
          </cell>
          <cell r="G8" t="str">
            <v>Total Mortgage Payment</v>
          </cell>
          <cell r="H8" t="str">
            <v>NYSHFA Fee</v>
          </cell>
          <cell r="I8" t="str">
            <v>SONYMA Fee (Conversion Payment)</v>
          </cell>
          <cell r="J8" t="str">
            <v>SONYMA Fee</v>
          </cell>
          <cell r="L8" t="str">
            <v>Total Borrower Payment</v>
          </cell>
          <cell r="M8" t="str">
            <v>Mortgage Balance</v>
          </cell>
        </row>
        <row r="9">
          <cell r="F9">
            <v>3.7499999999999999E-2</v>
          </cell>
          <cell r="H9">
            <v>2.5000000000000001E-3</v>
          </cell>
          <cell r="J9">
            <v>5.0000000000000001E-3</v>
          </cell>
        </row>
        <row r="10">
          <cell r="A10">
            <v>0</v>
          </cell>
          <cell r="C10">
            <v>40086</v>
          </cell>
          <cell r="I10">
            <v>74350</v>
          </cell>
          <cell r="L10">
            <v>74350</v>
          </cell>
          <cell r="M10">
            <v>14870000</v>
          </cell>
        </row>
        <row r="11">
          <cell r="A11">
            <v>1</v>
          </cell>
          <cell r="C11">
            <v>40087</v>
          </cell>
          <cell r="D11">
            <v>40087</v>
          </cell>
          <cell r="E11">
            <v>0</v>
          </cell>
          <cell r="F11">
            <v>1548.96</v>
          </cell>
          <cell r="G11">
            <v>1548.96</v>
          </cell>
          <cell r="H11">
            <v>103.26</v>
          </cell>
          <cell r="J11">
            <v>6195.83</v>
          </cell>
          <cell r="L11">
            <v>7848.05</v>
          </cell>
          <cell r="M11">
            <v>14870000</v>
          </cell>
        </row>
        <row r="12">
          <cell r="A12">
            <v>2</v>
          </cell>
          <cell r="C12">
            <v>40118</v>
          </cell>
          <cell r="D12">
            <v>40087</v>
          </cell>
          <cell r="E12">
            <v>0</v>
          </cell>
          <cell r="F12">
            <v>46468.75</v>
          </cell>
          <cell r="G12">
            <v>46468.75</v>
          </cell>
          <cell r="H12">
            <v>3097.92</v>
          </cell>
          <cell r="J12">
            <v>6195.83</v>
          </cell>
          <cell r="L12">
            <v>55762.5</v>
          </cell>
          <cell r="M12">
            <v>14870000</v>
          </cell>
        </row>
        <row r="13">
          <cell r="A13">
            <v>3</v>
          </cell>
          <cell r="C13">
            <v>40148</v>
          </cell>
          <cell r="D13">
            <v>40118</v>
          </cell>
          <cell r="E13">
            <v>0</v>
          </cell>
          <cell r="F13">
            <v>46468.75</v>
          </cell>
          <cell r="G13">
            <v>46468.75</v>
          </cell>
          <cell r="H13">
            <v>3097.92</v>
          </cell>
          <cell r="J13">
            <v>6195.83</v>
          </cell>
          <cell r="L13">
            <v>55762.5</v>
          </cell>
          <cell r="M13">
            <v>14870000</v>
          </cell>
        </row>
        <row r="14">
          <cell r="A14">
            <v>4</v>
          </cell>
          <cell r="C14">
            <v>40179</v>
          </cell>
          <cell r="D14">
            <v>40148</v>
          </cell>
          <cell r="E14">
            <v>0</v>
          </cell>
          <cell r="F14">
            <v>46468.75</v>
          </cell>
          <cell r="G14">
            <v>46468.75</v>
          </cell>
          <cell r="H14">
            <v>3097.92</v>
          </cell>
          <cell r="J14">
            <v>6195.83</v>
          </cell>
          <cell r="L14">
            <v>55762.5</v>
          </cell>
          <cell r="M14">
            <v>14870000</v>
          </cell>
        </row>
        <row r="15">
          <cell r="A15">
            <v>5</v>
          </cell>
          <cell r="C15">
            <v>40210</v>
          </cell>
          <cell r="D15">
            <v>40179</v>
          </cell>
          <cell r="E15">
            <v>0</v>
          </cell>
          <cell r="F15">
            <v>46468.75</v>
          </cell>
          <cell r="G15">
            <v>46468.75</v>
          </cell>
          <cell r="H15">
            <v>3097.92</v>
          </cell>
          <cell r="J15">
            <v>6195.83</v>
          </cell>
          <cell r="L15">
            <v>55762.5</v>
          </cell>
          <cell r="M15">
            <v>14870000</v>
          </cell>
        </row>
        <row r="16">
          <cell r="A16">
            <v>6</v>
          </cell>
          <cell r="C16">
            <v>40238</v>
          </cell>
          <cell r="D16">
            <v>40210</v>
          </cell>
          <cell r="E16">
            <v>0</v>
          </cell>
          <cell r="F16">
            <v>46468.75</v>
          </cell>
          <cell r="G16">
            <v>46468.75</v>
          </cell>
          <cell r="H16">
            <v>3097.92</v>
          </cell>
          <cell r="J16">
            <v>6195.83</v>
          </cell>
          <cell r="L16">
            <v>55762.5</v>
          </cell>
          <cell r="M16">
            <v>14870000</v>
          </cell>
        </row>
        <row r="17">
          <cell r="A17">
            <v>7</v>
          </cell>
          <cell r="C17">
            <v>40269</v>
          </cell>
          <cell r="D17">
            <v>40238</v>
          </cell>
          <cell r="E17">
            <v>0</v>
          </cell>
          <cell r="F17">
            <v>46468.75</v>
          </cell>
          <cell r="G17">
            <v>46468.75</v>
          </cell>
          <cell r="H17">
            <v>3097.92</v>
          </cell>
          <cell r="J17">
            <v>6195.83</v>
          </cell>
          <cell r="L17">
            <v>55762.5</v>
          </cell>
          <cell r="M17">
            <v>14870000</v>
          </cell>
        </row>
        <row r="18">
          <cell r="A18">
            <v>8</v>
          </cell>
          <cell r="C18">
            <v>40299</v>
          </cell>
          <cell r="D18">
            <v>40269</v>
          </cell>
          <cell r="E18">
            <v>0</v>
          </cell>
          <cell r="F18">
            <v>46468.75</v>
          </cell>
          <cell r="G18">
            <v>46468.75</v>
          </cell>
          <cell r="H18">
            <v>3097.92</v>
          </cell>
          <cell r="J18">
            <v>6195.83</v>
          </cell>
          <cell r="L18">
            <v>55762.5</v>
          </cell>
          <cell r="M18">
            <v>14870000</v>
          </cell>
        </row>
        <row r="19">
          <cell r="A19">
            <v>9</v>
          </cell>
          <cell r="C19">
            <v>40330</v>
          </cell>
          <cell r="D19">
            <v>40299</v>
          </cell>
          <cell r="E19">
            <v>0</v>
          </cell>
          <cell r="F19">
            <v>46468.75</v>
          </cell>
          <cell r="G19">
            <v>46468.75</v>
          </cell>
          <cell r="H19">
            <v>3097.92</v>
          </cell>
          <cell r="J19">
            <v>6195.83</v>
          </cell>
          <cell r="L19">
            <v>55762.5</v>
          </cell>
          <cell r="M19">
            <v>14870000</v>
          </cell>
        </row>
        <row r="20">
          <cell r="A20">
            <v>10</v>
          </cell>
          <cell r="C20">
            <v>40360</v>
          </cell>
          <cell r="D20">
            <v>40330</v>
          </cell>
          <cell r="E20">
            <v>0</v>
          </cell>
          <cell r="F20">
            <v>46468.75</v>
          </cell>
          <cell r="G20">
            <v>46468.75</v>
          </cell>
          <cell r="H20">
            <v>3097.92</v>
          </cell>
          <cell r="J20">
            <v>6195.83</v>
          </cell>
          <cell r="L20">
            <v>55762.5</v>
          </cell>
          <cell r="M20">
            <v>14870000</v>
          </cell>
        </row>
        <row r="21">
          <cell r="A21">
            <v>11</v>
          </cell>
          <cell r="C21">
            <v>40391</v>
          </cell>
          <cell r="D21">
            <v>40360</v>
          </cell>
          <cell r="E21">
            <v>0</v>
          </cell>
          <cell r="F21">
            <v>46468.75</v>
          </cell>
          <cell r="G21">
            <v>46468.75</v>
          </cell>
          <cell r="H21">
            <v>3097.92</v>
          </cell>
          <cell r="J21">
            <v>6195.83</v>
          </cell>
          <cell r="L21">
            <v>55762.5</v>
          </cell>
          <cell r="M21">
            <v>14870000</v>
          </cell>
        </row>
        <row r="22">
          <cell r="A22">
            <v>12</v>
          </cell>
          <cell r="C22">
            <v>40422</v>
          </cell>
          <cell r="D22">
            <v>40391</v>
          </cell>
          <cell r="E22">
            <v>0</v>
          </cell>
          <cell r="F22">
            <v>46468.75</v>
          </cell>
          <cell r="G22">
            <v>46468.75</v>
          </cell>
          <cell r="H22">
            <v>3097.92</v>
          </cell>
          <cell r="J22">
            <v>6195.83</v>
          </cell>
          <cell r="L22">
            <v>55762.5</v>
          </cell>
          <cell r="M22">
            <v>14870000</v>
          </cell>
        </row>
        <row r="23">
          <cell r="A23">
            <v>13</v>
          </cell>
          <cell r="C23">
            <v>40452</v>
          </cell>
          <cell r="D23">
            <v>40422</v>
          </cell>
          <cell r="E23">
            <v>0</v>
          </cell>
          <cell r="F23">
            <v>46468.75</v>
          </cell>
          <cell r="G23">
            <v>46468.75</v>
          </cell>
          <cell r="H23">
            <v>3097.92</v>
          </cell>
          <cell r="J23">
            <v>6195.83</v>
          </cell>
          <cell r="L23">
            <v>55762.5</v>
          </cell>
          <cell r="M23">
            <v>14870000</v>
          </cell>
        </row>
        <row r="24">
          <cell r="A24">
            <v>14</v>
          </cell>
          <cell r="C24">
            <v>40483</v>
          </cell>
          <cell r="D24">
            <v>40452</v>
          </cell>
          <cell r="E24">
            <v>0</v>
          </cell>
          <cell r="F24">
            <v>46468.75</v>
          </cell>
          <cell r="G24">
            <v>46468.75</v>
          </cell>
          <cell r="H24">
            <v>3097.92</v>
          </cell>
          <cell r="J24">
            <v>6195.83</v>
          </cell>
          <cell r="L24">
            <v>55762.5</v>
          </cell>
          <cell r="M24">
            <v>14870000</v>
          </cell>
        </row>
        <row r="25">
          <cell r="A25">
            <v>15</v>
          </cell>
          <cell r="C25">
            <v>40513</v>
          </cell>
          <cell r="D25">
            <v>40483</v>
          </cell>
          <cell r="E25">
            <v>0</v>
          </cell>
          <cell r="F25">
            <v>46468.75</v>
          </cell>
          <cell r="G25">
            <v>46468.75</v>
          </cell>
          <cell r="H25">
            <v>3097.92</v>
          </cell>
          <cell r="J25">
            <v>6195.83</v>
          </cell>
          <cell r="L25">
            <v>55762.5</v>
          </cell>
          <cell r="M25">
            <v>14870000</v>
          </cell>
        </row>
        <row r="26">
          <cell r="A26">
            <v>16</v>
          </cell>
          <cell r="B26" t="str">
            <v>*</v>
          </cell>
          <cell r="C26">
            <v>40544</v>
          </cell>
          <cell r="D26">
            <v>40513</v>
          </cell>
          <cell r="E26">
            <v>14870000</v>
          </cell>
          <cell r="F26">
            <v>46468.75</v>
          </cell>
          <cell r="G26">
            <v>14916468.75</v>
          </cell>
          <cell r="H26">
            <v>3097.92</v>
          </cell>
          <cell r="J26">
            <v>6195.83</v>
          </cell>
          <cell r="L26">
            <v>14925762.5</v>
          </cell>
          <cell r="M26">
            <v>0</v>
          </cell>
        </row>
        <row r="27">
          <cell r="E27">
            <v>14870000</v>
          </cell>
          <cell r="F27">
            <v>698580.21</v>
          </cell>
          <cell r="G27">
            <v>15568580.210000001</v>
          </cell>
          <cell r="H27">
            <v>46572.059999999983</v>
          </cell>
          <cell r="I27">
            <v>74350</v>
          </cell>
          <cell r="J27">
            <v>99133.280000000013</v>
          </cell>
          <cell r="L27">
            <v>15788635.550000001</v>
          </cell>
        </row>
      </sheetData>
      <sheetData sheetId="1">
        <row r="9">
          <cell r="A9" t="str">
            <v>Period</v>
          </cell>
          <cell r="C9" t="str">
            <v>Payment Reference Date</v>
          </cell>
          <cell r="D9" t="str">
            <v xml:space="preserve">Payment Due HFA             </v>
          </cell>
          <cell r="E9" t="str">
            <v>Principal</v>
          </cell>
          <cell r="F9" t="str">
            <v>Interest</v>
          </cell>
          <cell r="G9" t="str">
            <v>Total Mortgage Payment</v>
          </cell>
          <cell r="H9" t="str">
            <v>NYSHFA Fee (3)</v>
          </cell>
          <cell r="J9" t="str">
            <v>SONYMA Fee (Conversion Payment)</v>
          </cell>
          <cell r="L9" t="str">
            <v>SONYMA Fee</v>
          </cell>
          <cell r="M9" t="str">
            <v>Replacement Reserve Payments</v>
          </cell>
          <cell r="O9" t="str">
            <v>Section 236 Fees (3)</v>
          </cell>
          <cell r="Q9" t="str">
            <v>LOC Draw Fees</v>
          </cell>
          <cell r="S9" t="str">
            <v>Total Borrower Payment</v>
          </cell>
          <cell r="T9" t="str">
            <v>Mortgage Balance</v>
          </cell>
        </row>
        <row r="10">
          <cell r="F10">
            <v>5.7000000000000002E-2</v>
          </cell>
          <cell r="H10">
            <v>2.5000000000000001E-3</v>
          </cell>
          <cell r="L10">
            <v>5.0000000000000001E-3</v>
          </cell>
          <cell r="O10">
            <v>1E-3</v>
          </cell>
        </row>
        <row r="11">
          <cell r="A11">
            <v>0</v>
          </cell>
          <cell r="C11">
            <v>40086</v>
          </cell>
          <cell r="J11">
            <v>41750</v>
          </cell>
          <cell r="K11">
            <v>-2</v>
          </cell>
          <cell r="S11">
            <v>41750</v>
          </cell>
          <cell r="T11">
            <v>8350000</v>
          </cell>
        </row>
        <row r="12">
          <cell r="A12">
            <v>1</v>
          </cell>
          <cell r="C12">
            <v>40087</v>
          </cell>
          <cell r="D12">
            <v>40087</v>
          </cell>
          <cell r="F12">
            <v>1322.08</v>
          </cell>
          <cell r="G12">
            <v>1322.08</v>
          </cell>
          <cell r="H12">
            <v>57.99</v>
          </cell>
          <cell r="I12">
            <v>-1</v>
          </cell>
          <cell r="L12">
            <v>3479.17</v>
          </cell>
          <cell r="O12">
            <v>0</v>
          </cell>
          <cell r="S12">
            <v>4859.24</v>
          </cell>
          <cell r="T12">
            <v>8350000</v>
          </cell>
        </row>
        <row r="13">
          <cell r="A13">
            <v>2</v>
          </cell>
          <cell r="C13">
            <v>40118</v>
          </cell>
          <cell r="D13">
            <v>40087</v>
          </cell>
          <cell r="F13">
            <v>39662.5</v>
          </cell>
          <cell r="G13">
            <v>39662.5</v>
          </cell>
          <cell r="H13">
            <v>1739.58</v>
          </cell>
          <cell r="L13">
            <v>3479.17</v>
          </cell>
          <cell r="O13">
            <v>0</v>
          </cell>
          <cell r="S13">
            <v>44881.25</v>
          </cell>
          <cell r="T13">
            <v>8350000</v>
          </cell>
        </row>
        <row r="14">
          <cell r="A14">
            <v>3</v>
          </cell>
          <cell r="C14">
            <v>40148</v>
          </cell>
          <cell r="D14">
            <v>40118</v>
          </cell>
          <cell r="F14">
            <v>39662.5</v>
          </cell>
          <cell r="G14">
            <v>39662.5</v>
          </cell>
          <cell r="H14">
            <v>1739.58</v>
          </cell>
          <cell r="L14">
            <v>3479.17</v>
          </cell>
          <cell r="O14">
            <v>0</v>
          </cell>
          <cell r="S14">
            <v>44881.25</v>
          </cell>
          <cell r="T14">
            <v>8350000</v>
          </cell>
        </row>
        <row r="15">
          <cell r="A15">
            <v>4</v>
          </cell>
          <cell r="C15">
            <v>40179</v>
          </cell>
          <cell r="D15">
            <v>40148</v>
          </cell>
          <cell r="F15">
            <v>39662.5</v>
          </cell>
          <cell r="G15">
            <v>39662.5</v>
          </cell>
          <cell r="H15">
            <v>1739.58</v>
          </cell>
          <cell r="L15">
            <v>3479.17</v>
          </cell>
          <cell r="O15">
            <v>0</v>
          </cell>
          <cell r="S15">
            <v>44881.25</v>
          </cell>
          <cell r="T15">
            <v>8350000</v>
          </cell>
        </row>
        <row r="16">
          <cell r="A16">
            <v>5</v>
          </cell>
          <cell r="C16">
            <v>40210</v>
          </cell>
          <cell r="D16">
            <v>40179</v>
          </cell>
          <cell r="F16">
            <v>39662.5</v>
          </cell>
          <cell r="G16">
            <v>39662.5</v>
          </cell>
          <cell r="H16">
            <v>1739.58</v>
          </cell>
          <cell r="L16">
            <v>3479.17</v>
          </cell>
          <cell r="O16">
            <v>0</v>
          </cell>
          <cell r="S16">
            <v>44881.25</v>
          </cell>
          <cell r="T16">
            <v>8350000</v>
          </cell>
        </row>
        <row r="17">
          <cell r="A17">
            <v>6</v>
          </cell>
          <cell r="C17">
            <v>40238</v>
          </cell>
          <cell r="D17">
            <v>40210</v>
          </cell>
          <cell r="F17">
            <v>39662.5</v>
          </cell>
          <cell r="G17">
            <v>39662.5</v>
          </cell>
          <cell r="H17">
            <v>1739.58</v>
          </cell>
          <cell r="L17">
            <v>3479.17</v>
          </cell>
          <cell r="O17">
            <v>0</v>
          </cell>
          <cell r="S17">
            <v>44881.25</v>
          </cell>
          <cell r="T17">
            <v>8350000</v>
          </cell>
        </row>
        <row r="18">
          <cell r="A18">
            <v>7</v>
          </cell>
          <cell r="C18">
            <v>40269</v>
          </cell>
          <cell r="D18">
            <v>40238</v>
          </cell>
          <cell r="F18">
            <v>39662.5</v>
          </cell>
          <cell r="G18">
            <v>39662.5</v>
          </cell>
          <cell r="H18">
            <v>1739.58</v>
          </cell>
          <cell r="L18">
            <v>3479.17</v>
          </cell>
          <cell r="O18">
            <v>0</v>
          </cell>
          <cell r="S18">
            <v>44881.25</v>
          </cell>
          <cell r="T18">
            <v>8350000</v>
          </cell>
        </row>
        <row r="19">
          <cell r="A19">
            <v>8</v>
          </cell>
          <cell r="C19">
            <v>40299</v>
          </cell>
          <cell r="D19">
            <v>40269</v>
          </cell>
          <cell r="F19">
            <v>39662.5</v>
          </cell>
          <cell r="G19">
            <v>39662.5</v>
          </cell>
          <cell r="H19">
            <v>1739.58</v>
          </cell>
          <cell r="L19">
            <v>3479.17</v>
          </cell>
          <cell r="O19">
            <v>0</v>
          </cell>
          <cell r="S19">
            <v>44881.25</v>
          </cell>
          <cell r="T19">
            <v>8350000</v>
          </cell>
        </row>
        <row r="20">
          <cell r="A20">
            <v>9</v>
          </cell>
          <cell r="C20">
            <v>40330</v>
          </cell>
          <cell r="D20">
            <v>40299</v>
          </cell>
          <cell r="F20">
            <v>39662.5</v>
          </cell>
          <cell r="G20">
            <v>39662.5</v>
          </cell>
          <cell r="H20">
            <v>1739.58</v>
          </cell>
          <cell r="L20">
            <v>3479.17</v>
          </cell>
          <cell r="O20">
            <v>0</v>
          </cell>
          <cell r="S20">
            <v>44881.25</v>
          </cell>
          <cell r="T20">
            <v>8350000</v>
          </cell>
        </row>
        <row r="21">
          <cell r="A21">
            <v>10</v>
          </cell>
          <cell r="C21">
            <v>40360</v>
          </cell>
          <cell r="D21">
            <v>40330</v>
          </cell>
          <cell r="F21">
            <v>39662.5</v>
          </cell>
          <cell r="G21">
            <v>39662.5</v>
          </cell>
          <cell r="H21">
            <v>1739.58</v>
          </cell>
          <cell r="L21">
            <v>3479.17</v>
          </cell>
          <cell r="O21">
            <v>0</v>
          </cell>
          <cell r="S21">
            <v>44881.25</v>
          </cell>
          <cell r="T21">
            <v>8350000</v>
          </cell>
        </row>
        <row r="22">
          <cell r="A22">
            <v>11</v>
          </cell>
          <cell r="C22">
            <v>40391</v>
          </cell>
          <cell r="D22">
            <v>40360</v>
          </cell>
          <cell r="F22">
            <v>39662.5</v>
          </cell>
          <cell r="G22">
            <v>39662.5</v>
          </cell>
          <cell r="H22">
            <v>1739.58</v>
          </cell>
          <cell r="L22">
            <v>3479.17</v>
          </cell>
          <cell r="O22">
            <v>0</v>
          </cell>
          <cell r="S22">
            <v>44881.25</v>
          </cell>
          <cell r="T22">
            <v>8350000</v>
          </cell>
        </row>
        <row r="23">
          <cell r="A23">
            <v>12</v>
          </cell>
          <cell r="C23">
            <v>40422</v>
          </cell>
          <cell r="D23">
            <v>40391</v>
          </cell>
          <cell r="F23">
            <v>39662.5</v>
          </cell>
          <cell r="G23">
            <v>39662.5</v>
          </cell>
          <cell r="H23">
            <v>1739.58</v>
          </cell>
          <cell r="L23">
            <v>3479.17</v>
          </cell>
          <cell r="O23">
            <v>0</v>
          </cell>
          <cell r="S23">
            <v>44881.25</v>
          </cell>
          <cell r="T23">
            <v>8350000</v>
          </cell>
        </row>
        <row r="24">
          <cell r="A24">
            <v>13</v>
          </cell>
          <cell r="C24">
            <v>40452</v>
          </cell>
          <cell r="D24">
            <v>40422</v>
          </cell>
          <cell r="F24">
            <v>39662.5</v>
          </cell>
          <cell r="G24">
            <v>39662.5</v>
          </cell>
          <cell r="H24">
            <v>1739.58</v>
          </cell>
          <cell r="L24">
            <v>3479.17</v>
          </cell>
          <cell r="O24">
            <v>0</v>
          </cell>
          <cell r="S24">
            <v>44881.25</v>
          </cell>
          <cell r="T24">
            <v>8350000</v>
          </cell>
        </row>
        <row r="25">
          <cell r="A25">
            <v>14</v>
          </cell>
          <cell r="C25">
            <v>40483</v>
          </cell>
          <cell r="D25">
            <v>40452</v>
          </cell>
          <cell r="F25">
            <v>39662.5</v>
          </cell>
          <cell r="G25">
            <v>39662.5</v>
          </cell>
          <cell r="H25">
            <v>1739.58</v>
          </cell>
          <cell r="L25">
            <v>3479.17</v>
          </cell>
          <cell r="O25">
            <v>0</v>
          </cell>
          <cell r="S25">
            <v>44881.25</v>
          </cell>
          <cell r="T25">
            <v>8350000</v>
          </cell>
        </row>
        <row r="26">
          <cell r="A26">
            <v>15</v>
          </cell>
          <cell r="C26">
            <v>40513</v>
          </cell>
          <cell r="D26">
            <v>40483</v>
          </cell>
          <cell r="F26">
            <v>39662.5</v>
          </cell>
          <cell r="G26">
            <v>39662.5</v>
          </cell>
          <cell r="H26">
            <v>1739.58</v>
          </cell>
          <cell r="L26">
            <v>3479.17</v>
          </cell>
          <cell r="O26">
            <v>0</v>
          </cell>
          <cell r="S26">
            <v>44881.25</v>
          </cell>
          <cell r="T26">
            <v>8350000</v>
          </cell>
        </row>
        <row r="27">
          <cell r="A27">
            <v>16</v>
          </cell>
          <cell r="B27">
            <v>1</v>
          </cell>
          <cell r="C27">
            <v>40544</v>
          </cell>
          <cell r="D27">
            <v>40513</v>
          </cell>
          <cell r="E27">
            <v>7646.6600000000035</v>
          </cell>
          <cell r="F27">
            <v>39662.5</v>
          </cell>
          <cell r="G27">
            <v>47309.16</v>
          </cell>
          <cell r="H27">
            <v>1739.58</v>
          </cell>
          <cell r="L27">
            <v>3439.92</v>
          </cell>
          <cell r="M27">
            <v>10600</v>
          </cell>
          <cell r="O27">
            <v>0</v>
          </cell>
          <cell r="S27">
            <v>63088.66</v>
          </cell>
          <cell r="T27">
            <v>8342353.3399999999</v>
          </cell>
        </row>
        <row r="28">
          <cell r="A28">
            <v>17</v>
          </cell>
          <cell r="B28">
            <v>2</v>
          </cell>
          <cell r="C28">
            <v>40575</v>
          </cell>
          <cell r="D28">
            <v>40544</v>
          </cell>
          <cell r="E28">
            <v>7682.9800000000032</v>
          </cell>
          <cell r="F28">
            <v>39626.18</v>
          </cell>
          <cell r="G28">
            <v>47309.16</v>
          </cell>
          <cell r="H28">
            <v>1739.58</v>
          </cell>
          <cell r="L28">
            <v>3439.92</v>
          </cell>
          <cell r="M28">
            <v>10600</v>
          </cell>
          <cell r="O28">
            <v>0</v>
          </cell>
          <cell r="S28">
            <v>63088.66</v>
          </cell>
          <cell r="T28">
            <v>8334670.3599999994</v>
          </cell>
        </row>
        <row r="29">
          <cell r="A29">
            <v>18</v>
          </cell>
          <cell r="B29">
            <v>3</v>
          </cell>
          <cell r="C29">
            <v>40603</v>
          </cell>
          <cell r="D29">
            <v>40575</v>
          </cell>
          <cell r="E29">
            <v>7719.4800000000032</v>
          </cell>
          <cell r="F29">
            <v>39589.68</v>
          </cell>
          <cell r="G29">
            <v>47309.16</v>
          </cell>
          <cell r="H29">
            <v>1739.58</v>
          </cell>
          <cell r="L29">
            <v>3439.92</v>
          </cell>
          <cell r="M29">
            <v>10600</v>
          </cell>
          <cell r="O29">
            <v>0</v>
          </cell>
          <cell r="S29">
            <v>63088.66</v>
          </cell>
          <cell r="T29">
            <v>8326950.879999999</v>
          </cell>
        </row>
        <row r="30">
          <cell r="A30">
            <v>19</v>
          </cell>
          <cell r="B30">
            <v>4</v>
          </cell>
          <cell r="C30">
            <v>40634</v>
          </cell>
          <cell r="D30">
            <v>40603</v>
          </cell>
          <cell r="E30">
            <v>7756.1400000000067</v>
          </cell>
          <cell r="F30">
            <v>39553.019999999997</v>
          </cell>
          <cell r="G30">
            <v>47309.16</v>
          </cell>
          <cell r="H30">
            <v>1739.58</v>
          </cell>
          <cell r="L30">
            <v>3439.92</v>
          </cell>
          <cell r="M30">
            <v>10600</v>
          </cell>
          <cell r="O30">
            <v>0</v>
          </cell>
          <cell r="S30">
            <v>63088.66</v>
          </cell>
          <cell r="T30">
            <v>8319194.7399999993</v>
          </cell>
        </row>
        <row r="31">
          <cell r="A31">
            <v>20</v>
          </cell>
          <cell r="B31">
            <v>5</v>
          </cell>
          <cell r="C31">
            <v>40664</v>
          </cell>
          <cell r="D31">
            <v>40634</v>
          </cell>
          <cell r="E31">
            <v>7792.9800000000032</v>
          </cell>
          <cell r="F31">
            <v>39516.18</v>
          </cell>
          <cell r="G31">
            <v>47309.16</v>
          </cell>
          <cell r="H31">
            <v>1739.58</v>
          </cell>
          <cell r="L31">
            <v>3439.92</v>
          </cell>
          <cell r="M31">
            <v>10600</v>
          </cell>
          <cell r="O31">
            <v>0</v>
          </cell>
          <cell r="S31">
            <v>63088.66</v>
          </cell>
          <cell r="T31">
            <v>8311401.7599999988</v>
          </cell>
        </row>
        <row r="32">
          <cell r="A32">
            <v>21</v>
          </cell>
          <cell r="B32">
            <v>6</v>
          </cell>
          <cell r="C32">
            <v>40695</v>
          </cell>
          <cell r="D32">
            <v>40664</v>
          </cell>
          <cell r="E32">
            <v>7830</v>
          </cell>
          <cell r="F32">
            <v>39479.160000000003</v>
          </cell>
          <cell r="G32">
            <v>47309.16</v>
          </cell>
          <cell r="H32">
            <v>1739.58</v>
          </cell>
          <cell r="L32">
            <v>3439.92</v>
          </cell>
          <cell r="M32">
            <v>10600</v>
          </cell>
          <cell r="O32">
            <v>0</v>
          </cell>
          <cell r="S32">
            <v>63088.66</v>
          </cell>
          <cell r="T32">
            <v>8303571.7599999988</v>
          </cell>
        </row>
        <row r="33">
          <cell r="A33">
            <v>22</v>
          </cell>
          <cell r="B33">
            <v>7</v>
          </cell>
          <cell r="C33">
            <v>40725</v>
          </cell>
          <cell r="D33">
            <v>40695</v>
          </cell>
          <cell r="E33">
            <v>7867.1900000000023</v>
          </cell>
          <cell r="F33">
            <v>39441.97</v>
          </cell>
          <cell r="G33">
            <v>47309.16</v>
          </cell>
          <cell r="H33">
            <v>1739.58</v>
          </cell>
          <cell r="L33">
            <v>3439.92</v>
          </cell>
          <cell r="M33">
            <v>10600</v>
          </cell>
          <cell r="O33">
            <v>0</v>
          </cell>
          <cell r="S33">
            <v>63088.66</v>
          </cell>
          <cell r="T33">
            <v>8295704.5699999984</v>
          </cell>
        </row>
        <row r="34">
          <cell r="A34">
            <v>23</v>
          </cell>
          <cell r="B34">
            <v>8</v>
          </cell>
          <cell r="C34">
            <v>40756</v>
          </cell>
          <cell r="D34">
            <v>40725</v>
          </cell>
          <cell r="E34">
            <v>7904.5600000000049</v>
          </cell>
          <cell r="F34">
            <v>39404.6</v>
          </cell>
          <cell r="G34">
            <v>47309.16</v>
          </cell>
          <cell r="H34">
            <v>1739.58</v>
          </cell>
          <cell r="L34">
            <v>3439.92</v>
          </cell>
          <cell r="M34">
            <v>10600</v>
          </cell>
          <cell r="O34">
            <v>0</v>
          </cell>
          <cell r="S34">
            <v>63088.66</v>
          </cell>
          <cell r="T34">
            <v>8287800.0099999988</v>
          </cell>
        </row>
        <row r="35">
          <cell r="A35">
            <v>24</v>
          </cell>
          <cell r="B35">
            <v>9</v>
          </cell>
          <cell r="C35">
            <v>40787</v>
          </cell>
          <cell r="D35">
            <v>40756</v>
          </cell>
          <cell r="E35">
            <v>7942.1100000000006</v>
          </cell>
          <cell r="F35">
            <v>39367.050000000003</v>
          </cell>
          <cell r="G35">
            <v>47309.16</v>
          </cell>
          <cell r="H35">
            <v>1739.58</v>
          </cell>
          <cell r="L35">
            <v>3439.92</v>
          </cell>
          <cell r="M35">
            <v>10600</v>
          </cell>
          <cell r="O35">
            <v>0</v>
          </cell>
          <cell r="S35">
            <v>63088.66</v>
          </cell>
          <cell r="T35">
            <v>8279857.8999999985</v>
          </cell>
        </row>
        <row r="36">
          <cell r="A36">
            <v>25</v>
          </cell>
          <cell r="B36">
            <v>10</v>
          </cell>
          <cell r="C36">
            <v>40817</v>
          </cell>
          <cell r="D36">
            <v>40787</v>
          </cell>
          <cell r="E36">
            <v>7979.8300000000017</v>
          </cell>
          <cell r="F36">
            <v>39329.33</v>
          </cell>
          <cell r="G36">
            <v>47309.16</v>
          </cell>
          <cell r="H36">
            <v>1739.58</v>
          </cell>
          <cell r="L36">
            <v>3439.92</v>
          </cell>
          <cell r="M36">
            <v>10600</v>
          </cell>
          <cell r="O36">
            <v>0</v>
          </cell>
          <cell r="S36">
            <v>63088.66</v>
          </cell>
          <cell r="T36">
            <v>8271878.0699999984</v>
          </cell>
        </row>
        <row r="37">
          <cell r="A37">
            <v>26</v>
          </cell>
          <cell r="B37">
            <v>11</v>
          </cell>
          <cell r="C37">
            <v>40848</v>
          </cell>
          <cell r="D37">
            <v>40817</v>
          </cell>
          <cell r="E37">
            <v>8017.7400000000052</v>
          </cell>
          <cell r="F37">
            <v>39291.42</v>
          </cell>
          <cell r="G37">
            <v>47309.16</v>
          </cell>
          <cell r="H37">
            <v>1739.58</v>
          </cell>
          <cell r="L37">
            <v>3439.92</v>
          </cell>
          <cell r="M37">
            <v>10600</v>
          </cell>
          <cell r="O37">
            <v>0</v>
          </cell>
          <cell r="S37">
            <v>63088.66</v>
          </cell>
          <cell r="T37">
            <v>8263860.3299999982</v>
          </cell>
        </row>
        <row r="38">
          <cell r="A38">
            <v>27</v>
          </cell>
          <cell r="B38">
            <v>12</v>
          </cell>
          <cell r="C38">
            <v>40878</v>
          </cell>
          <cell r="D38">
            <v>40848</v>
          </cell>
          <cell r="E38">
            <v>8055.820000000007</v>
          </cell>
          <cell r="F38">
            <v>39253.339999999997</v>
          </cell>
          <cell r="G38">
            <v>47309.16</v>
          </cell>
          <cell r="H38">
            <v>1739.58</v>
          </cell>
          <cell r="L38">
            <v>3439.92</v>
          </cell>
          <cell r="M38">
            <v>10600</v>
          </cell>
          <cell r="O38">
            <v>0</v>
          </cell>
          <cell r="S38">
            <v>63088.66</v>
          </cell>
          <cell r="T38">
            <v>8255804.5099999979</v>
          </cell>
        </row>
        <row r="39">
          <cell r="A39">
            <v>28</v>
          </cell>
          <cell r="B39">
            <v>13</v>
          </cell>
          <cell r="C39">
            <v>40909</v>
          </cell>
          <cell r="D39">
            <v>40878</v>
          </cell>
          <cell r="E39">
            <v>8155.570000000007</v>
          </cell>
          <cell r="F39">
            <v>39215.07</v>
          </cell>
          <cell r="G39">
            <v>47370.640000000007</v>
          </cell>
          <cell r="H39">
            <v>1719.96</v>
          </cell>
          <cell r="L39">
            <v>3398.06</v>
          </cell>
          <cell r="M39">
            <v>10600</v>
          </cell>
          <cell r="O39">
            <v>0</v>
          </cell>
          <cell r="S39">
            <v>63088.66</v>
          </cell>
          <cell r="T39">
            <v>8247648.9399999976</v>
          </cell>
        </row>
        <row r="40">
          <cell r="A40">
            <v>29</v>
          </cell>
          <cell r="B40">
            <v>14</v>
          </cell>
          <cell r="C40">
            <v>40940</v>
          </cell>
          <cell r="D40">
            <v>40909</v>
          </cell>
          <cell r="E40">
            <v>8194.3100000000049</v>
          </cell>
          <cell r="F40">
            <v>39176.33</v>
          </cell>
          <cell r="G40">
            <v>47370.640000000007</v>
          </cell>
          <cell r="H40">
            <v>1719.96</v>
          </cell>
          <cell r="L40">
            <v>3398.06</v>
          </cell>
          <cell r="M40">
            <v>10600</v>
          </cell>
          <cell r="O40">
            <v>0</v>
          </cell>
          <cell r="S40">
            <v>63088.66</v>
          </cell>
          <cell r="T40">
            <v>8239454.629999998</v>
          </cell>
        </row>
        <row r="41">
          <cell r="A41">
            <v>30</v>
          </cell>
          <cell r="B41">
            <v>15</v>
          </cell>
          <cell r="C41">
            <v>40969</v>
          </cell>
          <cell r="D41">
            <v>40940</v>
          </cell>
          <cell r="E41">
            <v>8233.2300000000032</v>
          </cell>
          <cell r="F41">
            <v>39137.410000000003</v>
          </cell>
          <cell r="G41">
            <v>47370.640000000007</v>
          </cell>
          <cell r="H41">
            <v>1719.96</v>
          </cell>
          <cell r="L41">
            <v>3398.06</v>
          </cell>
          <cell r="M41">
            <v>10600</v>
          </cell>
          <cell r="O41">
            <v>0</v>
          </cell>
          <cell r="S41">
            <v>63088.66</v>
          </cell>
          <cell r="T41">
            <v>8231221.3999999976</v>
          </cell>
        </row>
        <row r="42">
          <cell r="A42">
            <v>31</v>
          </cell>
          <cell r="B42">
            <v>16</v>
          </cell>
          <cell r="C42">
            <v>41000</v>
          </cell>
          <cell r="D42">
            <v>40969</v>
          </cell>
          <cell r="E42">
            <v>8272.3400000000038</v>
          </cell>
          <cell r="F42">
            <v>39098.300000000003</v>
          </cell>
          <cell r="G42">
            <v>47370.640000000007</v>
          </cell>
          <cell r="H42">
            <v>1719.96</v>
          </cell>
          <cell r="L42">
            <v>3398.06</v>
          </cell>
          <cell r="M42">
            <v>10600</v>
          </cell>
          <cell r="O42">
            <v>0</v>
          </cell>
          <cell r="S42">
            <v>63088.66</v>
          </cell>
          <cell r="T42">
            <v>8222949.0599999977</v>
          </cell>
        </row>
        <row r="43">
          <cell r="A43">
            <v>32</v>
          </cell>
          <cell r="B43">
            <v>17</v>
          </cell>
          <cell r="C43">
            <v>41030</v>
          </cell>
          <cell r="D43">
            <v>41000</v>
          </cell>
          <cell r="E43">
            <v>8311.6300000000047</v>
          </cell>
          <cell r="F43">
            <v>39059.01</v>
          </cell>
          <cell r="G43">
            <v>47370.640000000007</v>
          </cell>
          <cell r="H43">
            <v>1719.96</v>
          </cell>
          <cell r="L43">
            <v>3398.06</v>
          </cell>
          <cell r="M43">
            <v>10600</v>
          </cell>
          <cell r="O43">
            <v>0</v>
          </cell>
          <cell r="S43">
            <v>63088.66</v>
          </cell>
          <cell r="T43">
            <v>8214637.4299999978</v>
          </cell>
        </row>
        <row r="44">
          <cell r="A44">
            <v>33</v>
          </cell>
          <cell r="B44">
            <v>18</v>
          </cell>
          <cell r="C44">
            <v>41061</v>
          </cell>
          <cell r="D44">
            <v>41030</v>
          </cell>
          <cell r="E44">
            <v>8351.1100000000079</v>
          </cell>
          <cell r="F44">
            <v>39019.53</v>
          </cell>
          <cell r="G44">
            <v>47370.640000000007</v>
          </cell>
          <cell r="H44">
            <v>1719.96</v>
          </cell>
          <cell r="L44">
            <v>3398.06</v>
          </cell>
          <cell r="M44">
            <v>10600</v>
          </cell>
          <cell r="O44">
            <v>0</v>
          </cell>
          <cell r="S44">
            <v>63088.66</v>
          </cell>
          <cell r="T44">
            <v>8206286.3199999975</v>
          </cell>
        </row>
        <row r="45">
          <cell r="A45">
            <v>34</v>
          </cell>
          <cell r="B45">
            <v>19</v>
          </cell>
          <cell r="C45">
            <v>41091</v>
          </cell>
          <cell r="D45">
            <v>41061</v>
          </cell>
          <cell r="E45">
            <v>8390.7800000000061</v>
          </cell>
          <cell r="F45">
            <v>38979.86</v>
          </cell>
          <cell r="G45">
            <v>47370.640000000007</v>
          </cell>
          <cell r="H45">
            <v>1719.96</v>
          </cell>
          <cell r="L45">
            <v>3398.06</v>
          </cell>
          <cell r="M45">
            <v>10600</v>
          </cell>
          <cell r="O45">
            <v>0</v>
          </cell>
          <cell r="S45">
            <v>63088.66</v>
          </cell>
          <cell r="T45">
            <v>8197895.5399999972</v>
          </cell>
        </row>
        <row r="46">
          <cell r="A46">
            <v>35</v>
          </cell>
          <cell r="B46">
            <v>20</v>
          </cell>
          <cell r="C46">
            <v>41122</v>
          </cell>
          <cell r="D46">
            <v>41091</v>
          </cell>
          <cell r="E46">
            <v>8430.6400000000067</v>
          </cell>
          <cell r="F46">
            <v>38940</v>
          </cell>
          <cell r="G46">
            <v>47370.640000000007</v>
          </cell>
          <cell r="H46">
            <v>1719.96</v>
          </cell>
          <cell r="L46">
            <v>3398.06</v>
          </cell>
          <cell r="M46">
            <v>10600</v>
          </cell>
          <cell r="O46">
            <v>0</v>
          </cell>
          <cell r="S46">
            <v>63088.66</v>
          </cell>
          <cell r="T46">
            <v>8189464.8999999976</v>
          </cell>
        </row>
        <row r="47">
          <cell r="A47">
            <v>36</v>
          </cell>
          <cell r="B47">
            <v>21</v>
          </cell>
          <cell r="C47">
            <v>41153</v>
          </cell>
          <cell r="D47">
            <v>41122</v>
          </cell>
          <cell r="E47">
            <v>8470.6800000000076</v>
          </cell>
          <cell r="F47">
            <v>38899.96</v>
          </cell>
          <cell r="G47">
            <v>47370.640000000007</v>
          </cell>
          <cell r="H47">
            <v>1719.96</v>
          </cell>
          <cell r="L47">
            <v>3398.06</v>
          </cell>
          <cell r="M47">
            <v>10600</v>
          </cell>
          <cell r="O47">
            <v>0</v>
          </cell>
          <cell r="S47">
            <v>63088.66</v>
          </cell>
          <cell r="T47">
            <v>8180994.2199999979</v>
          </cell>
        </row>
        <row r="48">
          <cell r="A48">
            <v>37</v>
          </cell>
          <cell r="B48">
            <v>22</v>
          </cell>
          <cell r="C48">
            <v>41183</v>
          </cell>
          <cell r="D48">
            <v>41153</v>
          </cell>
          <cell r="E48">
            <v>8510.9200000000055</v>
          </cell>
          <cell r="F48">
            <v>38859.72</v>
          </cell>
          <cell r="G48">
            <v>47370.640000000007</v>
          </cell>
          <cell r="H48">
            <v>1719.96</v>
          </cell>
          <cell r="L48">
            <v>3398.06</v>
          </cell>
          <cell r="M48">
            <v>10600</v>
          </cell>
          <cell r="O48">
            <v>0</v>
          </cell>
          <cell r="S48">
            <v>63088.66</v>
          </cell>
          <cell r="T48">
            <v>8172483.299999998</v>
          </cell>
        </row>
        <row r="49">
          <cell r="A49">
            <v>38</v>
          </cell>
          <cell r="B49">
            <v>23</v>
          </cell>
          <cell r="C49">
            <v>41214</v>
          </cell>
          <cell r="D49">
            <v>41183</v>
          </cell>
          <cell r="E49">
            <v>8551.3400000000038</v>
          </cell>
          <cell r="F49">
            <v>38819.300000000003</v>
          </cell>
          <cell r="G49">
            <v>47370.640000000007</v>
          </cell>
          <cell r="H49">
            <v>1719.96</v>
          </cell>
          <cell r="L49">
            <v>3398.06</v>
          </cell>
          <cell r="M49">
            <v>10600</v>
          </cell>
          <cell r="O49">
            <v>0</v>
          </cell>
          <cell r="S49">
            <v>63088.66</v>
          </cell>
          <cell r="T49">
            <v>8163931.9599999981</v>
          </cell>
        </row>
        <row r="50">
          <cell r="A50">
            <v>39</v>
          </cell>
          <cell r="B50">
            <v>24</v>
          </cell>
          <cell r="C50">
            <v>41244</v>
          </cell>
          <cell r="D50">
            <v>41214</v>
          </cell>
          <cell r="E50">
            <v>8591.9600000000064</v>
          </cell>
          <cell r="F50">
            <v>38778.68</v>
          </cell>
          <cell r="G50">
            <v>47370.640000000007</v>
          </cell>
          <cell r="H50">
            <v>1719.96</v>
          </cell>
          <cell r="L50">
            <v>3398.06</v>
          </cell>
          <cell r="M50">
            <v>10600</v>
          </cell>
          <cell r="O50">
            <v>0</v>
          </cell>
          <cell r="S50">
            <v>63088.66</v>
          </cell>
          <cell r="T50">
            <v>8155339.9999999981</v>
          </cell>
        </row>
        <row r="51">
          <cell r="A51">
            <v>40</v>
          </cell>
          <cell r="B51">
            <v>25</v>
          </cell>
          <cell r="C51">
            <v>41275</v>
          </cell>
          <cell r="D51">
            <v>41244</v>
          </cell>
          <cell r="E51">
            <v>8698.36</v>
          </cell>
          <cell r="F51">
            <v>38737.86</v>
          </cell>
          <cell r="G51">
            <v>47436.22</v>
          </cell>
          <cell r="H51">
            <v>1699.03</v>
          </cell>
          <cell r="L51">
            <v>3353.41</v>
          </cell>
          <cell r="M51">
            <v>10600</v>
          </cell>
          <cell r="O51">
            <v>0</v>
          </cell>
          <cell r="S51">
            <v>63088.66</v>
          </cell>
          <cell r="T51">
            <v>8146641.6399999978</v>
          </cell>
        </row>
        <row r="52">
          <cell r="A52">
            <v>41</v>
          </cell>
          <cell r="B52">
            <v>26</v>
          </cell>
          <cell r="C52">
            <v>41306</v>
          </cell>
          <cell r="D52">
            <v>41275</v>
          </cell>
          <cell r="E52">
            <v>8739.6699999999983</v>
          </cell>
          <cell r="F52">
            <v>38696.550000000003</v>
          </cell>
          <cell r="G52">
            <v>47436.22</v>
          </cell>
          <cell r="H52">
            <v>1699.03</v>
          </cell>
          <cell r="L52">
            <v>3353.41</v>
          </cell>
          <cell r="M52">
            <v>10600</v>
          </cell>
          <cell r="O52">
            <v>0</v>
          </cell>
          <cell r="S52">
            <v>63088.66</v>
          </cell>
          <cell r="T52">
            <v>8137901.9699999979</v>
          </cell>
        </row>
        <row r="53">
          <cell r="A53">
            <v>42</v>
          </cell>
          <cell r="B53">
            <v>27</v>
          </cell>
          <cell r="C53">
            <v>41334</v>
          </cell>
          <cell r="D53">
            <v>41306</v>
          </cell>
          <cell r="E53">
            <v>8781.1900000000023</v>
          </cell>
          <cell r="F53">
            <v>38655.03</v>
          </cell>
          <cell r="G53">
            <v>47436.22</v>
          </cell>
          <cell r="H53">
            <v>1699.03</v>
          </cell>
          <cell r="L53">
            <v>3353.41</v>
          </cell>
          <cell r="M53">
            <v>10600</v>
          </cell>
          <cell r="O53">
            <v>0</v>
          </cell>
          <cell r="S53">
            <v>63088.66</v>
          </cell>
          <cell r="T53">
            <v>8129120.7799999975</v>
          </cell>
        </row>
        <row r="54">
          <cell r="A54">
            <v>43</v>
          </cell>
          <cell r="B54">
            <v>28</v>
          </cell>
          <cell r="C54">
            <v>41365</v>
          </cell>
          <cell r="D54">
            <v>41334</v>
          </cell>
          <cell r="E54">
            <v>8822.9000000000015</v>
          </cell>
          <cell r="F54">
            <v>38613.32</v>
          </cell>
          <cell r="G54">
            <v>47436.22</v>
          </cell>
          <cell r="H54">
            <v>1699.03</v>
          </cell>
          <cell r="L54">
            <v>3353.41</v>
          </cell>
          <cell r="M54">
            <v>10600</v>
          </cell>
          <cell r="O54">
            <v>0</v>
          </cell>
          <cell r="S54">
            <v>63088.66</v>
          </cell>
          <cell r="T54">
            <v>8120297.8799999971</v>
          </cell>
        </row>
        <row r="55">
          <cell r="A55">
            <v>44</v>
          </cell>
          <cell r="B55">
            <v>29</v>
          </cell>
          <cell r="C55">
            <v>41395</v>
          </cell>
          <cell r="D55">
            <v>41365</v>
          </cell>
          <cell r="E55">
            <v>8864.8099999999977</v>
          </cell>
          <cell r="F55">
            <v>38571.410000000003</v>
          </cell>
          <cell r="G55">
            <v>47436.22</v>
          </cell>
          <cell r="H55">
            <v>1699.03</v>
          </cell>
          <cell r="L55">
            <v>3353.41</v>
          </cell>
          <cell r="M55">
            <v>10600</v>
          </cell>
          <cell r="O55">
            <v>0</v>
          </cell>
          <cell r="S55">
            <v>63088.66</v>
          </cell>
          <cell r="T55">
            <v>8111433.0699999975</v>
          </cell>
        </row>
        <row r="56">
          <cell r="A56">
            <v>45</v>
          </cell>
          <cell r="B56">
            <v>30</v>
          </cell>
          <cell r="C56">
            <v>41426</v>
          </cell>
          <cell r="D56">
            <v>41395</v>
          </cell>
          <cell r="E56">
            <v>8906.9100000000035</v>
          </cell>
          <cell r="F56">
            <v>38529.31</v>
          </cell>
          <cell r="G56">
            <v>47436.22</v>
          </cell>
          <cell r="H56">
            <v>1699.03</v>
          </cell>
          <cell r="L56">
            <v>3353.41</v>
          </cell>
          <cell r="M56">
            <v>10600</v>
          </cell>
          <cell r="O56">
            <v>0</v>
          </cell>
          <cell r="S56">
            <v>63088.66</v>
          </cell>
          <cell r="T56">
            <v>8102526.1599999974</v>
          </cell>
        </row>
        <row r="57">
          <cell r="A57">
            <v>46</v>
          </cell>
          <cell r="B57">
            <v>31</v>
          </cell>
          <cell r="C57">
            <v>41456</v>
          </cell>
          <cell r="D57">
            <v>41426</v>
          </cell>
          <cell r="E57">
            <v>8949.2200000000012</v>
          </cell>
          <cell r="F57">
            <v>38487</v>
          </cell>
          <cell r="G57">
            <v>47436.22</v>
          </cell>
          <cell r="H57">
            <v>1699.03</v>
          </cell>
          <cell r="L57">
            <v>3353.41</v>
          </cell>
          <cell r="M57">
            <v>10600</v>
          </cell>
          <cell r="O57">
            <v>0</v>
          </cell>
          <cell r="S57">
            <v>63088.66</v>
          </cell>
          <cell r="T57">
            <v>8093576.9399999976</v>
          </cell>
        </row>
        <row r="58">
          <cell r="A58">
            <v>47</v>
          </cell>
          <cell r="B58">
            <v>32</v>
          </cell>
          <cell r="C58">
            <v>41487</v>
          </cell>
          <cell r="D58">
            <v>41456</v>
          </cell>
          <cell r="E58">
            <v>8991.7300000000032</v>
          </cell>
          <cell r="F58">
            <v>38444.49</v>
          </cell>
          <cell r="G58">
            <v>47436.22</v>
          </cell>
          <cell r="H58">
            <v>1699.03</v>
          </cell>
          <cell r="L58">
            <v>3353.41</v>
          </cell>
          <cell r="M58">
            <v>10600</v>
          </cell>
          <cell r="O58">
            <v>0</v>
          </cell>
          <cell r="S58">
            <v>63088.66</v>
          </cell>
          <cell r="T58">
            <v>8084585.2099999972</v>
          </cell>
        </row>
        <row r="59">
          <cell r="A59">
            <v>48</v>
          </cell>
          <cell r="B59">
            <v>33</v>
          </cell>
          <cell r="C59">
            <v>41518</v>
          </cell>
          <cell r="D59">
            <v>41487</v>
          </cell>
          <cell r="E59">
            <v>9034.4400000000023</v>
          </cell>
          <cell r="F59">
            <v>38401.78</v>
          </cell>
          <cell r="G59">
            <v>47436.22</v>
          </cell>
          <cell r="H59">
            <v>1699.03</v>
          </cell>
          <cell r="L59">
            <v>3353.41</v>
          </cell>
          <cell r="M59">
            <v>10600</v>
          </cell>
          <cell r="O59">
            <v>0</v>
          </cell>
          <cell r="S59">
            <v>63088.66</v>
          </cell>
          <cell r="T59">
            <v>8075550.7699999968</v>
          </cell>
        </row>
        <row r="60">
          <cell r="A60">
            <v>49</v>
          </cell>
          <cell r="B60">
            <v>34</v>
          </cell>
          <cell r="C60">
            <v>41548</v>
          </cell>
          <cell r="D60">
            <v>41518</v>
          </cell>
          <cell r="E60">
            <v>9077.3499999999985</v>
          </cell>
          <cell r="F60">
            <v>38358.870000000003</v>
          </cell>
          <cell r="G60">
            <v>47436.22</v>
          </cell>
          <cell r="H60">
            <v>1699.03</v>
          </cell>
          <cell r="L60">
            <v>3353.41</v>
          </cell>
          <cell r="M60">
            <v>10600</v>
          </cell>
          <cell r="O60">
            <v>0</v>
          </cell>
          <cell r="S60">
            <v>63088.66</v>
          </cell>
          <cell r="T60">
            <v>8066473.4199999971</v>
          </cell>
        </row>
        <row r="61">
          <cell r="A61">
            <v>50</v>
          </cell>
          <cell r="B61">
            <v>35</v>
          </cell>
          <cell r="C61">
            <v>41579</v>
          </cell>
          <cell r="D61">
            <v>41548</v>
          </cell>
          <cell r="E61">
            <v>9120.4700000000012</v>
          </cell>
          <cell r="F61">
            <v>38315.75</v>
          </cell>
          <cell r="G61">
            <v>47436.22</v>
          </cell>
          <cell r="H61">
            <v>1699.03</v>
          </cell>
          <cell r="L61">
            <v>3353.41</v>
          </cell>
          <cell r="M61">
            <v>10600</v>
          </cell>
          <cell r="O61">
            <v>0</v>
          </cell>
          <cell r="S61">
            <v>63088.66</v>
          </cell>
          <cell r="T61">
            <v>8057352.9499999974</v>
          </cell>
        </row>
        <row r="62">
          <cell r="A62">
            <v>51</v>
          </cell>
          <cell r="B62">
            <v>36</v>
          </cell>
          <cell r="C62">
            <v>41609</v>
          </cell>
          <cell r="D62">
            <v>41579</v>
          </cell>
          <cell r="E62">
            <v>9163.7900000000009</v>
          </cell>
          <cell r="F62">
            <v>38272.43</v>
          </cell>
          <cell r="G62">
            <v>47436.22</v>
          </cell>
          <cell r="H62">
            <v>1699.03</v>
          </cell>
          <cell r="L62">
            <v>3353.41</v>
          </cell>
          <cell r="M62">
            <v>10600</v>
          </cell>
          <cell r="O62">
            <v>0</v>
          </cell>
          <cell r="S62">
            <v>63088.66</v>
          </cell>
          <cell r="T62">
            <v>8048189.1599999974</v>
          </cell>
        </row>
        <row r="63">
          <cell r="A63">
            <v>52</v>
          </cell>
          <cell r="B63">
            <v>37</v>
          </cell>
          <cell r="C63">
            <v>41640</v>
          </cell>
          <cell r="D63">
            <v>41609</v>
          </cell>
          <cell r="E63">
            <v>9277.260000000002</v>
          </cell>
          <cell r="F63">
            <v>38228.9</v>
          </cell>
          <cell r="G63">
            <v>47506.16</v>
          </cell>
          <cell r="H63">
            <v>1676.71</v>
          </cell>
          <cell r="L63">
            <v>3305.79</v>
          </cell>
          <cell r="M63">
            <v>10600</v>
          </cell>
          <cell r="O63">
            <v>0</v>
          </cell>
          <cell r="S63">
            <v>63088.66</v>
          </cell>
          <cell r="T63">
            <v>8038911.8999999976</v>
          </cell>
        </row>
        <row r="64">
          <cell r="A64">
            <v>53</v>
          </cell>
          <cell r="B64">
            <v>38</v>
          </cell>
          <cell r="C64">
            <v>41671</v>
          </cell>
          <cell r="D64">
            <v>41640</v>
          </cell>
          <cell r="E64">
            <v>9321.3300000000017</v>
          </cell>
          <cell r="F64">
            <v>38184.83</v>
          </cell>
          <cell r="G64">
            <v>47506.16</v>
          </cell>
          <cell r="H64">
            <v>1676.71</v>
          </cell>
          <cell r="L64">
            <v>3305.79</v>
          </cell>
          <cell r="M64">
            <v>10600</v>
          </cell>
          <cell r="O64">
            <v>0</v>
          </cell>
          <cell r="S64">
            <v>63088.66</v>
          </cell>
          <cell r="T64">
            <v>8029590.5699999975</v>
          </cell>
        </row>
        <row r="65">
          <cell r="A65">
            <v>54</v>
          </cell>
          <cell r="B65">
            <v>39</v>
          </cell>
          <cell r="C65">
            <v>41699</v>
          </cell>
          <cell r="D65">
            <v>41671</v>
          </cell>
          <cell r="E65">
            <v>9365.6000000000058</v>
          </cell>
          <cell r="F65">
            <v>38140.559999999998</v>
          </cell>
          <cell r="G65">
            <v>47506.16</v>
          </cell>
          <cell r="H65">
            <v>1676.71</v>
          </cell>
          <cell r="L65">
            <v>3305.79</v>
          </cell>
          <cell r="M65">
            <v>10600</v>
          </cell>
          <cell r="O65">
            <v>0</v>
          </cell>
          <cell r="S65">
            <v>63088.66</v>
          </cell>
          <cell r="T65">
            <v>8020224.9699999979</v>
          </cell>
        </row>
        <row r="66">
          <cell r="A66">
            <v>55</v>
          </cell>
          <cell r="B66">
            <v>40</v>
          </cell>
          <cell r="C66">
            <v>41730</v>
          </cell>
          <cell r="D66">
            <v>41699</v>
          </cell>
          <cell r="E66">
            <v>9410.0900000000038</v>
          </cell>
          <cell r="F66">
            <v>38096.07</v>
          </cell>
          <cell r="G66">
            <v>47506.16</v>
          </cell>
          <cell r="H66">
            <v>1676.71</v>
          </cell>
          <cell r="L66">
            <v>3305.79</v>
          </cell>
          <cell r="M66">
            <v>10600</v>
          </cell>
          <cell r="O66">
            <v>0</v>
          </cell>
          <cell r="S66">
            <v>63088.66</v>
          </cell>
          <cell r="T66">
            <v>8010814.879999998</v>
          </cell>
        </row>
        <row r="67">
          <cell r="A67">
            <v>56</v>
          </cell>
          <cell r="B67">
            <v>41</v>
          </cell>
          <cell r="C67">
            <v>41760</v>
          </cell>
          <cell r="D67">
            <v>41730</v>
          </cell>
          <cell r="E67">
            <v>9454.7900000000009</v>
          </cell>
          <cell r="F67">
            <v>38051.370000000003</v>
          </cell>
          <cell r="G67">
            <v>47506.16</v>
          </cell>
          <cell r="H67">
            <v>1676.71</v>
          </cell>
          <cell r="L67">
            <v>3305.79</v>
          </cell>
          <cell r="M67">
            <v>10600</v>
          </cell>
          <cell r="O67">
            <v>0</v>
          </cell>
          <cell r="S67">
            <v>63088.66</v>
          </cell>
          <cell r="T67">
            <v>8001360.089999998</v>
          </cell>
        </row>
        <row r="68">
          <cell r="A68">
            <v>57</v>
          </cell>
          <cell r="B68">
            <v>42</v>
          </cell>
          <cell r="C68">
            <v>41791</v>
          </cell>
          <cell r="D68">
            <v>41760</v>
          </cell>
          <cell r="E68">
            <v>9499.7000000000044</v>
          </cell>
          <cell r="F68">
            <v>38006.46</v>
          </cell>
          <cell r="G68">
            <v>47506.16</v>
          </cell>
          <cell r="H68">
            <v>1676.71</v>
          </cell>
          <cell r="L68">
            <v>3305.79</v>
          </cell>
          <cell r="M68">
            <v>10600</v>
          </cell>
          <cell r="O68">
            <v>0</v>
          </cell>
          <cell r="S68">
            <v>63088.66</v>
          </cell>
          <cell r="T68">
            <v>7991860.3899999978</v>
          </cell>
        </row>
        <row r="69">
          <cell r="A69">
            <v>58</v>
          </cell>
          <cell r="B69">
            <v>43</v>
          </cell>
          <cell r="C69">
            <v>41821</v>
          </cell>
          <cell r="D69">
            <v>41791</v>
          </cell>
          <cell r="E69">
            <v>9544.820000000007</v>
          </cell>
          <cell r="F69">
            <v>37961.339999999997</v>
          </cell>
          <cell r="G69">
            <v>47506.16</v>
          </cell>
          <cell r="H69">
            <v>1676.71</v>
          </cell>
          <cell r="L69">
            <v>3305.79</v>
          </cell>
          <cell r="M69">
            <v>10600</v>
          </cell>
          <cell r="O69">
            <v>0</v>
          </cell>
          <cell r="S69">
            <v>63088.66</v>
          </cell>
          <cell r="T69">
            <v>7982315.5699999975</v>
          </cell>
        </row>
        <row r="70">
          <cell r="A70">
            <v>59</v>
          </cell>
          <cell r="B70">
            <v>44</v>
          </cell>
          <cell r="C70">
            <v>41852</v>
          </cell>
          <cell r="D70">
            <v>41821</v>
          </cell>
          <cell r="E70">
            <v>9590.1600000000035</v>
          </cell>
          <cell r="F70">
            <v>37916</v>
          </cell>
          <cell r="G70">
            <v>47506.16</v>
          </cell>
          <cell r="H70">
            <v>1676.71</v>
          </cell>
          <cell r="L70">
            <v>3305.79</v>
          </cell>
          <cell r="M70">
            <v>10600</v>
          </cell>
          <cell r="O70">
            <v>0</v>
          </cell>
          <cell r="S70">
            <v>63088.66</v>
          </cell>
          <cell r="T70">
            <v>7972725.4099999974</v>
          </cell>
        </row>
        <row r="71">
          <cell r="A71">
            <v>60</v>
          </cell>
          <cell r="B71">
            <v>45</v>
          </cell>
          <cell r="C71">
            <v>41883</v>
          </cell>
          <cell r="D71">
            <v>41852</v>
          </cell>
          <cell r="E71">
            <v>9635.7100000000064</v>
          </cell>
          <cell r="F71">
            <v>37870.449999999997</v>
          </cell>
          <cell r="G71">
            <v>47506.16</v>
          </cell>
          <cell r="H71">
            <v>1676.71</v>
          </cell>
          <cell r="L71">
            <v>3305.79</v>
          </cell>
          <cell r="M71">
            <v>10600</v>
          </cell>
          <cell r="O71">
            <v>0</v>
          </cell>
          <cell r="S71">
            <v>63088.66</v>
          </cell>
          <cell r="T71">
            <v>7963089.6999999974</v>
          </cell>
        </row>
        <row r="72">
          <cell r="A72">
            <v>61</v>
          </cell>
          <cell r="B72">
            <v>46</v>
          </cell>
          <cell r="C72">
            <v>41913</v>
          </cell>
          <cell r="D72">
            <v>41883</v>
          </cell>
          <cell r="E72">
            <v>9681.4800000000032</v>
          </cell>
          <cell r="F72">
            <v>37824.68</v>
          </cell>
          <cell r="G72">
            <v>47506.16</v>
          </cell>
          <cell r="H72">
            <v>1676.71</v>
          </cell>
          <cell r="L72">
            <v>3305.79</v>
          </cell>
          <cell r="M72">
            <v>10600</v>
          </cell>
          <cell r="O72">
            <v>0</v>
          </cell>
          <cell r="S72">
            <v>63088.66</v>
          </cell>
          <cell r="T72">
            <v>7953408.2199999969</v>
          </cell>
        </row>
        <row r="73">
          <cell r="A73">
            <v>62</v>
          </cell>
          <cell r="B73">
            <v>47</v>
          </cell>
          <cell r="C73">
            <v>41944</v>
          </cell>
          <cell r="D73">
            <v>41913</v>
          </cell>
          <cell r="E73">
            <v>9727.4700000000012</v>
          </cell>
          <cell r="F73">
            <v>37778.69</v>
          </cell>
          <cell r="G73">
            <v>47506.16</v>
          </cell>
          <cell r="H73">
            <v>1676.71</v>
          </cell>
          <cell r="L73">
            <v>3305.79</v>
          </cell>
          <cell r="M73">
            <v>10600</v>
          </cell>
          <cell r="O73">
            <v>0</v>
          </cell>
          <cell r="S73">
            <v>63088.66</v>
          </cell>
          <cell r="T73">
            <v>7943680.7499999972</v>
          </cell>
        </row>
        <row r="74">
          <cell r="A74">
            <v>63</v>
          </cell>
          <cell r="B74">
            <v>48</v>
          </cell>
          <cell r="C74">
            <v>41974</v>
          </cell>
          <cell r="D74">
            <v>41944</v>
          </cell>
          <cell r="E74">
            <v>9773.68</v>
          </cell>
          <cell r="F74">
            <v>37732.480000000003</v>
          </cell>
          <cell r="G74">
            <v>47506.16</v>
          </cell>
          <cell r="H74">
            <v>1676.71</v>
          </cell>
          <cell r="L74">
            <v>3305.79</v>
          </cell>
          <cell r="M74">
            <v>10600</v>
          </cell>
          <cell r="O74">
            <v>0</v>
          </cell>
          <cell r="S74">
            <v>63088.66</v>
          </cell>
          <cell r="T74">
            <v>7933907.0699999975</v>
          </cell>
        </row>
        <row r="75">
          <cell r="A75">
            <v>64</v>
          </cell>
          <cell r="B75">
            <v>49</v>
          </cell>
          <cell r="C75">
            <v>42005</v>
          </cell>
          <cell r="D75">
            <v>41974</v>
          </cell>
          <cell r="E75">
            <v>9894.6900000000023</v>
          </cell>
          <cell r="F75">
            <v>37686.06</v>
          </cell>
          <cell r="G75">
            <v>47580.75</v>
          </cell>
          <cell r="H75">
            <v>1652.9</v>
          </cell>
          <cell r="L75">
            <v>3255.01</v>
          </cell>
          <cell r="M75">
            <v>10600</v>
          </cell>
          <cell r="O75">
            <v>0</v>
          </cell>
          <cell r="S75">
            <v>63088.66</v>
          </cell>
          <cell r="T75">
            <v>7924012.3799999971</v>
          </cell>
        </row>
        <row r="76">
          <cell r="A76">
            <v>65</v>
          </cell>
          <cell r="B76">
            <v>50</v>
          </cell>
          <cell r="C76">
            <v>42036</v>
          </cell>
          <cell r="D76">
            <v>42005</v>
          </cell>
          <cell r="E76">
            <v>9941.6900000000023</v>
          </cell>
          <cell r="F76">
            <v>37639.06</v>
          </cell>
          <cell r="G76">
            <v>47580.75</v>
          </cell>
          <cell r="H76">
            <v>1652.9</v>
          </cell>
          <cell r="L76">
            <v>3255.01</v>
          </cell>
          <cell r="M76">
            <v>10600</v>
          </cell>
          <cell r="O76">
            <v>0</v>
          </cell>
          <cell r="S76">
            <v>63088.66</v>
          </cell>
          <cell r="T76">
            <v>7914070.6899999967</v>
          </cell>
        </row>
        <row r="77">
          <cell r="A77">
            <v>66</v>
          </cell>
          <cell r="B77">
            <v>51</v>
          </cell>
          <cell r="C77">
            <v>42064</v>
          </cell>
          <cell r="D77">
            <v>42036</v>
          </cell>
          <cell r="E77">
            <v>9988.9100000000035</v>
          </cell>
          <cell r="F77">
            <v>37591.839999999997</v>
          </cell>
          <cell r="G77">
            <v>47580.75</v>
          </cell>
          <cell r="H77">
            <v>1652.9</v>
          </cell>
          <cell r="L77">
            <v>3255.01</v>
          </cell>
          <cell r="M77">
            <v>10600</v>
          </cell>
          <cell r="O77">
            <v>0</v>
          </cell>
          <cell r="S77">
            <v>63088.66</v>
          </cell>
          <cell r="T77">
            <v>7904081.7799999965</v>
          </cell>
        </row>
        <row r="78">
          <cell r="A78">
            <v>67</v>
          </cell>
          <cell r="B78">
            <v>52</v>
          </cell>
          <cell r="C78">
            <v>42095</v>
          </cell>
          <cell r="D78">
            <v>42064</v>
          </cell>
          <cell r="E78">
            <v>10036.36</v>
          </cell>
          <cell r="F78">
            <v>37544.39</v>
          </cell>
          <cell r="G78">
            <v>47580.75</v>
          </cell>
          <cell r="H78">
            <v>1652.9</v>
          </cell>
          <cell r="L78">
            <v>3255.01</v>
          </cell>
          <cell r="M78">
            <v>10600</v>
          </cell>
          <cell r="O78">
            <v>0</v>
          </cell>
          <cell r="S78">
            <v>63088.66</v>
          </cell>
          <cell r="T78">
            <v>7894045.4199999962</v>
          </cell>
        </row>
        <row r="79">
          <cell r="A79">
            <v>68</v>
          </cell>
          <cell r="B79">
            <v>53</v>
          </cell>
          <cell r="C79">
            <v>42125</v>
          </cell>
          <cell r="D79">
            <v>42095</v>
          </cell>
          <cell r="E79">
            <v>10084.029999999999</v>
          </cell>
          <cell r="F79">
            <v>37496.720000000001</v>
          </cell>
          <cell r="G79">
            <v>47580.75</v>
          </cell>
          <cell r="H79">
            <v>1652.9</v>
          </cell>
          <cell r="L79">
            <v>3255.01</v>
          </cell>
          <cell r="M79">
            <v>10600</v>
          </cell>
          <cell r="O79">
            <v>0</v>
          </cell>
          <cell r="S79">
            <v>63088.66</v>
          </cell>
          <cell r="T79">
            <v>7883961.3899999959</v>
          </cell>
        </row>
        <row r="80">
          <cell r="A80">
            <v>69</v>
          </cell>
          <cell r="B80">
            <v>54</v>
          </cell>
          <cell r="C80">
            <v>42156</v>
          </cell>
          <cell r="D80">
            <v>42125</v>
          </cell>
          <cell r="E80">
            <v>10131.93</v>
          </cell>
          <cell r="F80">
            <v>37448.82</v>
          </cell>
          <cell r="G80">
            <v>47580.75</v>
          </cell>
          <cell r="H80">
            <v>1652.9</v>
          </cell>
          <cell r="L80">
            <v>3255.01</v>
          </cell>
          <cell r="M80">
            <v>10600</v>
          </cell>
          <cell r="O80">
            <v>0</v>
          </cell>
          <cell r="S80">
            <v>63088.66</v>
          </cell>
          <cell r="T80">
            <v>7873829.4599999962</v>
          </cell>
        </row>
        <row r="81">
          <cell r="A81">
            <v>70</v>
          </cell>
          <cell r="B81">
            <v>55</v>
          </cell>
          <cell r="C81">
            <v>42186</v>
          </cell>
          <cell r="D81">
            <v>42156</v>
          </cell>
          <cell r="E81">
            <v>10180.059999999998</v>
          </cell>
          <cell r="F81">
            <v>37400.69</v>
          </cell>
          <cell r="G81">
            <v>47580.75</v>
          </cell>
          <cell r="H81">
            <v>1652.9</v>
          </cell>
          <cell r="L81">
            <v>3255.01</v>
          </cell>
          <cell r="M81">
            <v>10600</v>
          </cell>
          <cell r="O81">
            <v>0</v>
          </cell>
          <cell r="S81">
            <v>63088.66</v>
          </cell>
          <cell r="T81">
            <v>7863649.3999999966</v>
          </cell>
        </row>
        <row r="82">
          <cell r="A82">
            <v>71</v>
          </cell>
          <cell r="B82">
            <v>56</v>
          </cell>
          <cell r="C82">
            <v>42217</v>
          </cell>
          <cell r="D82">
            <v>42186</v>
          </cell>
          <cell r="E82">
            <v>10228.419999999998</v>
          </cell>
          <cell r="F82">
            <v>37352.33</v>
          </cell>
          <cell r="G82">
            <v>47580.75</v>
          </cell>
          <cell r="H82">
            <v>1652.9</v>
          </cell>
          <cell r="L82">
            <v>3255.01</v>
          </cell>
          <cell r="M82">
            <v>10600</v>
          </cell>
          <cell r="O82">
            <v>0</v>
          </cell>
          <cell r="S82">
            <v>63088.66</v>
          </cell>
          <cell r="T82">
            <v>7853420.9799999967</v>
          </cell>
        </row>
        <row r="83">
          <cell r="A83">
            <v>72</v>
          </cell>
          <cell r="B83">
            <v>57</v>
          </cell>
          <cell r="C83">
            <v>42248</v>
          </cell>
          <cell r="D83">
            <v>42217</v>
          </cell>
          <cell r="E83">
            <v>10277</v>
          </cell>
          <cell r="F83">
            <v>37303.75</v>
          </cell>
          <cell r="G83">
            <v>47580.75</v>
          </cell>
          <cell r="H83">
            <v>1652.9</v>
          </cell>
          <cell r="L83">
            <v>3255.01</v>
          </cell>
          <cell r="M83">
            <v>10600</v>
          </cell>
          <cell r="O83">
            <v>0</v>
          </cell>
          <cell r="S83">
            <v>63088.66</v>
          </cell>
          <cell r="T83">
            <v>7843143.9799999967</v>
          </cell>
        </row>
        <row r="84">
          <cell r="A84">
            <v>73</v>
          </cell>
          <cell r="B84">
            <v>58</v>
          </cell>
          <cell r="C84">
            <v>42278</v>
          </cell>
          <cell r="D84">
            <v>42248</v>
          </cell>
          <cell r="E84">
            <v>10325.82</v>
          </cell>
          <cell r="F84">
            <v>37254.93</v>
          </cell>
          <cell r="G84">
            <v>47580.75</v>
          </cell>
          <cell r="H84">
            <v>1652.9</v>
          </cell>
          <cell r="L84">
            <v>3255.01</v>
          </cell>
          <cell r="M84">
            <v>10600</v>
          </cell>
          <cell r="O84">
            <v>0</v>
          </cell>
          <cell r="S84">
            <v>63088.66</v>
          </cell>
          <cell r="T84">
            <v>7832818.1599999964</v>
          </cell>
        </row>
        <row r="85">
          <cell r="A85">
            <v>74</v>
          </cell>
          <cell r="B85">
            <v>59</v>
          </cell>
          <cell r="C85">
            <v>42309</v>
          </cell>
          <cell r="D85">
            <v>42278</v>
          </cell>
          <cell r="E85">
            <v>10374.86</v>
          </cell>
          <cell r="F85">
            <v>37205.89</v>
          </cell>
          <cell r="G85">
            <v>47580.75</v>
          </cell>
          <cell r="H85">
            <v>1652.9</v>
          </cell>
          <cell r="L85">
            <v>3255.01</v>
          </cell>
          <cell r="M85">
            <v>10600</v>
          </cell>
          <cell r="O85">
            <v>0</v>
          </cell>
          <cell r="S85">
            <v>63088.66</v>
          </cell>
          <cell r="T85">
            <v>7822443.2999999961</v>
          </cell>
        </row>
        <row r="86">
          <cell r="A86">
            <v>75</v>
          </cell>
          <cell r="B86">
            <v>60</v>
          </cell>
          <cell r="C86">
            <v>42339</v>
          </cell>
          <cell r="D86">
            <v>42309</v>
          </cell>
          <cell r="E86">
            <v>10424.14</v>
          </cell>
          <cell r="F86">
            <v>37156.61</v>
          </cell>
          <cell r="G86">
            <v>47580.75</v>
          </cell>
          <cell r="H86">
            <v>1652.9</v>
          </cell>
          <cell r="L86">
            <v>3255.01</v>
          </cell>
          <cell r="M86">
            <v>10600</v>
          </cell>
          <cell r="O86">
            <v>0</v>
          </cell>
          <cell r="S86">
            <v>63088.66</v>
          </cell>
          <cell r="T86">
            <v>7812019.1599999964</v>
          </cell>
        </row>
        <row r="87">
          <cell r="A87">
            <v>76</v>
          </cell>
          <cell r="B87">
            <v>61</v>
          </cell>
          <cell r="C87">
            <v>42370</v>
          </cell>
          <cell r="D87">
            <v>42339</v>
          </cell>
          <cell r="E87">
            <v>10553.23000000001</v>
          </cell>
          <cell r="F87">
            <v>37107.089999999997</v>
          </cell>
          <cell r="G87">
            <v>47660.320000000007</v>
          </cell>
          <cell r="H87">
            <v>1627.5</v>
          </cell>
          <cell r="L87">
            <v>3200.84</v>
          </cell>
          <cell r="M87">
            <v>10600</v>
          </cell>
          <cell r="O87">
            <v>0</v>
          </cell>
          <cell r="S87">
            <v>63088.66</v>
          </cell>
          <cell r="T87">
            <v>7801465.929999996</v>
          </cell>
        </row>
        <row r="88">
          <cell r="A88">
            <v>77</v>
          </cell>
          <cell r="B88">
            <v>62</v>
          </cell>
          <cell r="C88">
            <v>42401</v>
          </cell>
          <cell r="D88">
            <v>42370</v>
          </cell>
          <cell r="E88">
            <v>10603.360000000008</v>
          </cell>
          <cell r="F88">
            <v>37056.959999999999</v>
          </cell>
          <cell r="G88">
            <v>47660.320000000007</v>
          </cell>
          <cell r="H88">
            <v>1627.5</v>
          </cell>
          <cell r="L88">
            <v>3200.84</v>
          </cell>
          <cell r="M88">
            <v>10600</v>
          </cell>
          <cell r="O88">
            <v>0</v>
          </cell>
          <cell r="S88">
            <v>63088.66</v>
          </cell>
          <cell r="T88">
            <v>7790862.5699999956</v>
          </cell>
        </row>
        <row r="89">
          <cell r="A89">
            <v>78</v>
          </cell>
          <cell r="B89">
            <v>63</v>
          </cell>
          <cell r="C89">
            <v>42430</v>
          </cell>
          <cell r="D89">
            <v>42401</v>
          </cell>
          <cell r="E89">
            <v>10653.720000000008</v>
          </cell>
          <cell r="F89">
            <v>37006.6</v>
          </cell>
          <cell r="G89">
            <v>47660.320000000007</v>
          </cell>
          <cell r="H89">
            <v>1627.5</v>
          </cell>
          <cell r="L89">
            <v>3200.84</v>
          </cell>
          <cell r="M89">
            <v>10600</v>
          </cell>
          <cell r="O89">
            <v>0</v>
          </cell>
          <cell r="S89">
            <v>63088.66</v>
          </cell>
          <cell r="T89">
            <v>7780208.8499999959</v>
          </cell>
        </row>
        <row r="90">
          <cell r="A90">
            <v>79</v>
          </cell>
          <cell r="B90">
            <v>64</v>
          </cell>
          <cell r="C90">
            <v>42461</v>
          </cell>
          <cell r="D90">
            <v>42430</v>
          </cell>
          <cell r="E90">
            <v>10704.330000000009</v>
          </cell>
          <cell r="F90">
            <v>36955.99</v>
          </cell>
          <cell r="G90">
            <v>47660.320000000007</v>
          </cell>
          <cell r="H90">
            <v>1627.5</v>
          </cell>
          <cell r="L90">
            <v>3200.84</v>
          </cell>
          <cell r="M90">
            <v>10600</v>
          </cell>
          <cell r="O90">
            <v>0</v>
          </cell>
          <cell r="S90">
            <v>63088.66</v>
          </cell>
          <cell r="T90">
            <v>7769504.5199999958</v>
          </cell>
        </row>
        <row r="91">
          <cell r="A91">
            <v>80</v>
          </cell>
          <cell r="B91">
            <v>65</v>
          </cell>
          <cell r="C91">
            <v>42491</v>
          </cell>
          <cell r="D91">
            <v>42461</v>
          </cell>
          <cell r="E91">
            <v>10755.170000000006</v>
          </cell>
          <cell r="F91">
            <v>36905.15</v>
          </cell>
          <cell r="G91">
            <v>47660.320000000007</v>
          </cell>
          <cell r="H91">
            <v>1627.5</v>
          </cell>
          <cell r="L91">
            <v>3200.84</v>
          </cell>
          <cell r="M91">
            <v>10600</v>
          </cell>
          <cell r="O91">
            <v>0</v>
          </cell>
          <cell r="S91">
            <v>63088.66</v>
          </cell>
          <cell r="T91">
            <v>7758749.3499999959</v>
          </cell>
        </row>
        <row r="92">
          <cell r="A92">
            <v>81</v>
          </cell>
          <cell r="B92">
            <v>66</v>
          </cell>
          <cell r="C92">
            <v>42522</v>
          </cell>
          <cell r="D92">
            <v>42491</v>
          </cell>
          <cell r="E92">
            <v>10806.260000000009</v>
          </cell>
          <cell r="F92">
            <v>36854.06</v>
          </cell>
          <cell r="G92">
            <v>47660.320000000007</v>
          </cell>
          <cell r="H92">
            <v>1627.5</v>
          </cell>
          <cell r="L92">
            <v>3200.84</v>
          </cell>
          <cell r="M92">
            <v>10600</v>
          </cell>
          <cell r="O92">
            <v>0</v>
          </cell>
          <cell r="S92">
            <v>63088.66</v>
          </cell>
          <cell r="T92">
            <v>7747943.0899999961</v>
          </cell>
        </row>
        <row r="93">
          <cell r="A93">
            <v>82</v>
          </cell>
          <cell r="B93">
            <v>67</v>
          </cell>
          <cell r="C93">
            <v>42552</v>
          </cell>
          <cell r="D93">
            <v>42522</v>
          </cell>
          <cell r="E93">
            <v>10857.590000000004</v>
          </cell>
          <cell r="F93">
            <v>36802.730000000003</v>
          </cell>
          <cell r="G93">
            <v>47660.320000000007</v>
          </cell>
          <cell r="H93">
            <v>1627.5</v>
          </cell>
          <cell r="L93">
            <v>3200.84</v>
          </cell>
          <cell r="M93">
            <v>10600</v>
          </cell>
          <cell r="O93">
            <v>0</v>
          </cell>
          <cell r="S93">
            <v>63088.66</v>
          </cell>
          <cell r="T93">
            <v>7737085.4999999963</v>
          </cell>
        </row>
        <row r="94">
          <cell r="A94">
            <v>83</v>
          </cell>
          <cell r="B94">
            <v>68</v>
          </cell>
          <cell r="C94">
            <v>42583</v>
          </cell>
          <cell r="D94">
            <v>42552</v>
          </cell>
          <cell r="E94">
            <v>10909.160000000003</v>
          </cell>
          <cell r="F94">
            <v>36751.160000000003</v>
          </cell>
          <cell r="G94">
            <v>47660.320000000007</v>
          </cell>
          <cell r="H94">
            <v>1627.5</v>
          </cell>
          <cell r="L94">
            <v>3200.84</v>
          </cell>
          <cell r="M94">
            <v>10600</v>
          </cell>
          <cell r="O94">
            <v>0</v>
          </cell>
          <cell r="S94">
            <v>63088.66</v>
          </cell>
          <cell r="T94">
            <v>7726176.3399999961</v>
          </cell>
        </row>
        <row r="95">
          <cell r="A95">
            <v>84</v>
          </cell>
          <cell r="B95">
            <v>69</v>
          </cell>
          <cell r="C95">
            <v>42614</v>
          </cell>
          <cell r="D95">
            <v>42583</v>
          </cell>
          <cell r="E95">
            <v>10960.98000000001</v>
          </cell>
          <cell r="F95">
            <v>36699.339999999997</v>
          </cell>
          <cell r="G95">
            <v>47660.320000000007</v>
          </cell>
          <cell r="H95">
            <v>1627.5</v>
          </cell>
          <cell r="L95">
            <v>3200.84</v>
          </cell>
          <cell r="M95">
            <v>10600</v>
          </cell>
          <cell r="O95">
            <v>0</v>
          </cell>
          <cell r="S95">
            <v>63088.66</v>
          </cell>
          <cell r="T95">
            <v>7715215.3599999957</v>
          </cell>
        </row>
        <row r="96">
          <cell r="A96">
            <v>85</v>
          </cell>
          <cell r="B96">
            <v>70</v>
          </cell>
          <cell r="C96">
            <v>42644</v>
          </cell>
          <cell r="D96">
            <v>42614</v>
          </cell>
          <cell r="E96">
            <v>11013.05000000001</v>
          </cell>
          <cell r="F96">
            <v>36647.269999999997</v>
          </cell>
          <cell r="G96">
            <v>47660.320000000007</v>
          </cell>
          <cell r="H96">
            <v>1627.5</v>
          </cell>
          <cell r="L96">
            <v>3200.84</v>
          </cell>
          <cell r="M96">
            <v>10600</v>
          </cell>
          <cell r="O96">
            <v>0</v>
          </cell>
          <cell r="S96">
            <v>63088.66</v>
          </cell>
          <cell r="T96">
            <v>7704202.3099999959</v>
          </cell>
        </row>
        <row r="97">
          <cell r="A97">
            <v>86</v>
          </cell>
          <cell r="B97">
            <v>71</v>
          </cell>
          <cell r="C97">
            <v>42675</v>
          </cell>
          <cell r="D97">
            <v>42644</v>
          </cell>
          <cell r="E97">
            <v>11065.360000000008</v>
          </cell>
          <cell r="F97">
            <v>36594.959999999999</v>
          </cell>
          <cell r="G97">
            <v>47660.320000000007</v>
          </cell>
          <cell r="H97">
            <v>1627.5</v>
          </cell>
          <cell r="L97">
            <v>3200.84</v>
          </cell>
          <cell r="M97">
            <v>10600</v>
          </cell>
          <cell r="O97">
            <v>0</v>
          </cell>
          <cell r="S97">
            <v>63088.66</v>
          </cell>
          <cell r="T97">
            <v>7693136.9499999955</v>
          </cell>
        </row>
        <row r="98">
          <cell r="A98">
            <v>87</v>
          </cell>
          <cell r="B98">
            <v>72</v>
          </cell>
          <cell r="C98">
            <v>42705</v>
          </cell>
          <cell r="D98">
            <v>42675</v>
          </cell>
          <cell r="E98">
            <v>11117.920000000006</v>
          </cell>
          <cell r="F98">
            <v>36542.400000000001</v>
          </cell>
          <cell r="G98">
            <v>47660.320000000007</v>
          </cell>
          <cell r="H98">
            <v>1627.5</v>
          </cell>
          <cell r="L98">
            <v>3200.84</v>
          </cell>
          <cell r="M98">
            <v>10600</v>
          </cell>
          <cell r="O98">
            <v>0</v>
          </cell>
          <cell r="S98">
            <v>63088.66</v>
          </cell>
          <cell r="T98">
            <v>7682019.0299999956</v>
          </cell>
        </row>
        <row r="99">
          <cell r="A99">
            <v>88</v>
          </cell>
          <cell r="B99">
            <v>73</v>
          </cell>
          <cell r="C99">
            <v>42736</v>
          </cell>
          <cell r="D99">
            <v>42705</v>
          </cell>
          <cell r="E99">
            <v>11255.580000000009</v>
          </cell>
          <cell r="F99">
            <v>36489.589999999997</v>
          </cell>
          <cell r="G99">
            <v>47745.170000000006</v>
          </cell>
          <cell r="H99">
            <v>1600.42</v>
          </cell>
          <cell r="L99">
            <v>3143.07</v>
          </cell>
          <cell r="M99">
            <v>10600</v>
          </cell>
          <cell r="O99">
            <v>0</v>
          </cell>
          <cell r="S99">
            <v>63088.66</v>
          </cell>
          <cell r="T99">
            <v>7670763.4499999955</v>
          </cell>
        </row>
        <row r="100">
          <cell r="A100">
            <v>89</v>
          </cell>
          <cell r="B100">
            <v>74</v>
          </cell>
          <cell r="C100">
            <v>42767</v>
          </cell>
          <cell r="D100">
            <v>42736</v>
          </cell>
          <cell r="E100">
            <v>11309.040000000008</v>
          </cell>
          <cell r="F100">
            <v>36436.129999999997</v>
          </cell>
          <cell r="G100">
            <v>47745.170000000006</v>
          </cell>
          <cell r="H100">
            <v>1600.42</v>
          </cell>
          <cell r="L100">
            <v>3143.07</v>
          </cell>
          <cell r="M100">
            <v>10600</v>
          </cell>
          <cell r="O100">
            <v>0</v>
          </cell>
          <cell r="S100">
            <v>63088.66</v>
          </cell>
          <cell r="T100">
            <v>7659454.4099999955</v>
          </cell>
        </row>
        <row r="101">
          <cell r="A101">
            <v>90</v>
          </cell>
          <cell r="B101">
            <v>75</v>
          </cell>
          <cell r="C101">
            <v>42795</v>
          </cell>
          <cell r="D101">
            <v>42767</v>
          </cell>
          <cell r="E101">
            <v>11362.760000000002</v>
          </cell>
          <cell r="F101">
            <v>36382.410000000003</v>
          </cell>
          <cell r="G101">
            <v>47745.170000000006</v>
          </cell>
          <cell r="H101">
            <v>1600.42</v>
          </cell>
          <cell r="L101">
            <v>3143.07</v>
          </cell>
          <cell r="M101">
            <v>10600</v>
          </cell>
          <cell r="O101">
            <v>0</v>
          </cell>
          <cell r="S101">
            <v>63088.66</v>
          </cell>
          <cell r="T101">
            <v>7648091.6499999957</v>
          </cell>
        </row>
        <row r="102">
          <cell r="A102">
            <v>91</v>
          </cell>
          <cell r="B102">
            <v>76</v>
          </cell>
          <cell r="C102">
            <v>42826</v>
          </cell>
          <cell r="D102">
            <v>42795</v>
          </cell>
          <cell r="E102">
            <v>11416.730000000003</v>
          </cell>
          <cell r="F102">
            <v>36328.44</v>
          </cell>
          <cell r="G102">
            <v>47745.170000000006</v>
          </cell>
          <cell r="H102">
            <v>1600.42</v>
          </cell>
          <cell r="L102">
            <v>3143.07</v>
          </cell>
          <cell r="M102">
            <v>10600</v>
          </cell>
          <cell r="O102">
            <v>0</v>
          </cell>
          <cell r="S102">
            <v>63088.66</v>
          </cell>
          <cell r="T102">
            <v>7636674.9199999953</v>
          </cell>
        </row>
        <row r="103">
          <cell r="A103">
            <v>92</v>
          </cell>
          <cell r="B103">
            <v>77</v>
          </cell>
          <cell r="C103">
            <v>42856</v>
          </cell>
          <cell r="D103">
            <v>42826</v>
          </cell>
          <cell r="E103">
            <v>11470.960000000006</v>
          </cell>
          <cell r="F103">
            <v>36274.21</v>
          </cell>
          <cell r="G103">
            <v>47745.170000000006</v>
          </cell>
          <cell r="H103">
            <v>1600.42</v>
          </cell>
          <cell r="L103">
            <v>3143.07</v>
          </cell>
          <cell r="M103">
            <v>10600</v>
          </cell>
          <cell r="O103">
            <v>0</v>
          </cell>
          <cell r="S103">
            <v>63088.66</v>
          </cell>
          <cell r="T103">
            <v>7625203.9599999953</v>
          </cell>
        </row>
        <row r="104">
          <cell r="A104">
            <v>93</v>
          </cell>
          <cell r="B104">
            <v>78</v>
          </cell>
          <cell r="C104">
            <v>42887</v>
          </cell>
          <cell r="D104">
            <v>42856</v>
          </cell>
          <cell r="E104">
            <v>11525.450000000004</v>
          </cell>
          <cell r="F104">
            <v>36219.72</v>
          </cell>
          <cell r="G104">
            <v>47745.170000000006</v>
          </cell>
          <cell r="H104">
            <v>1600.42</v>
          </cell>
          <cell r="L104">
            <v>3143.07</v>
          </cell>
          <cell r="M104">
            <v>10600</v>
          </cell>
          <cell r="O104">
            <v>0</v>
          </cell>
          <cell r="S104">
            <v>63088.66</v>
          </cell>
          <cell r="T104">
            <v>7613678.5099999951</v>
          </cell>
        </row>
        <row r="105">
          <cell r="A105">
            <v>94</v>
          </cell>
          <cell r="B105">
            <v>79</v>
          </cell>
          <cell r="C105">
            <v>42917</v>
          </cell>
          <cell r="D105">
            <v>42887</v>
          </cell>
          <cell r="E105">
            <v>11580.200000000004</v>
          </cell>
          <cell r="F105">
            <v>36164.97</v>
          </cell>
          <cell r="G105">
            <v>47745.170000000006</v>
          </cell>
          <cell r="H105">
            <v>1600.42</v>
          </cell>
          <cell r="L105">
            <v>3143.07</v>
          </cell>
          <cell r="M105">
            <v>10600</v>
          </cell>
          <cell r="O105">
            <v>0</v>
          </cell>
          <cell r="S105">
            <v>63088.66</v>
          </cell>
          <cell r="T105">
            <v>7602098.3099999949</v>
          </cell>
        </row>
        <row r="106">
          <cell r="A106">
            <v>95</v>
          </cell>
          <cell r="B106">
            <v>80</v>
          </cell>
          <cell r="C106">
            <v>42948</v>
          </cell>
          <cell r="D106">
            <v>42917</v>
          </cell>
          <cell r="E106">
            <v>11635.200000000004</v>
          </cell>
          <cell r="F106">
            <v>36109.97</v>
          </cell>
          <cell r="G106">
            <v>47745.170000000006</v>
          </cell>
          <cell r="H106">
            <v>1600.42</v>
          </cell>
          <cell r="L106">
            <v>3143.07</v>
          </cell>
          <cell r="M106">
            <v>10600</v>
          </cell>
          <cell r="O106">
            <v>0</v>
          </cell>
          <cell r="S106">
            <v>63088.66</v>
          </cell>
          <cell r="T106">
            <v>7590463.1099999947</v>
          </cell>
        </row>
        <row r="107">
          <cell r="A107">
            <v>96</v>
          </cell>
          <cell r="B107">
            <v>81</v>
          </cell>
          <cell r="C107">
            <v>42979</v>
          </cell>
          <cell r="D107">
            <v>42948</v>
          </cell>
          <cell r="E107">
            <v>11690.470000000008</v>
          </cell>
          <cell r="F107">
            <v>36054.699999999997</v>
          </cell>
          <cell r="G107">
            <v>47745.170000000006</v>
          </cell>
          <cell r="H107">
            <v>1600.42</v>
          </cell>
          <cell r="L107">
            <v>3143.07</v>
          </cell>
          <cell r="M107">
            <v>10600</v>
          </cell>
          <cell r="O107">
            <v>0</v>
          </cell>
          <cell r="S107">
            <v>63088.66</v>
          </cell>
          <cell r="T107">
            <v>7578772.639999995</v>
          </cell>
        </row>
        <row r="108">
          <cell r="A108">
            <v>97</v>
          </cell>
          <cell r="B108">
            <v>82</v>
          </cell>
          <cell r="C108">
            <v>43009</v>
          </cell>
          <cell r="D108">
            <v>42979</v>
          </cell>
          <cell r="E108">
            <v>11746.000000000007</v>
          </cell>
          <cell r="F108">
            <v>35999.17</v>
          </cell>
          <cell r="G108">
            <v>47745.170000000006</v>
          </cell>
          <cell r="H108">
            <v>1600.42</v>
          </cell>
          <cell r="L108">
            <v>3143.07</v>
          </cell>
          <cell r="M108">
            <v>10600</v>
          </cell>
          <cell r="O108">
            <v>0</v>
          </cell>
          <cell r="S108">
            <v>63088.66</v>
          </cell>
          <cell r="T108">
            <v>7567026.639999995</v>
          </cell>
        </row>
        <row r="109">
          <cell r="A109">
            <v>98</v>
          </cell>
          <cell r="B109">
            <v>83</v>
          </cell>
          <cell r="C109">
            <v>43040</v>
          </cell>
          <cell r="D109">
            <v>43009</v>
          </cell>
          <cell r="E109">
            <v>11801.790000000008</v>
          </cell>
          <cell r="F109">
            <v>35943.379999999997</v>
          </cell>
          <cell r="G109">
            <v>47745.170000000006</v>
          </cell>
          <cell r="H109">
            <v>1600.42</v>
          </cell>
          <cell r="L109">
            <v>3143.07</v>
          </cell>
          <cell r="M109">
            <v>10600</v>
          </cell>
          <cell r="O109">
            <v>0</v>
          </cell>
          <cell r="S109">
            <v>63088.66</v>
          </cell>
          <cell r="T109">
            <v>7555224.849999995</v>
          </cell>
        </row>
        <row r="110">
          <cell r="A110">
            <v>99</v>
          </cell>
          <cell r="B110">
            <v>84</v>
          </cell>
          <cell r="C110">
            <v>43070</v>
          </cell>
          <cell r="D110">
            <v>43040</v>
          </cell>
          <cell r="E110">
            <v>11857.850000000006</v>
          </cell>
          <cell r="F110">
            <v>35887.32</v>
          </cell>
          <cell r="G110">
            <v>47745.170000000006</v>
          </cell>
          <cell r="H110">
            <v>1600.42</v>
          </cell>
          <cell r="L110">
            <v>3143.07</v>
          </cell>
          <cell r="M110">
            <v>10600</v>
          </cell>
          <cell r="O110">
            <v>0</v>
          </cell>
          <cell r="S110">
            <v>63088.66</v>
          </cell>
          <cell r="T110">
            <v>7543366.9999999953</v>
          </cell>
        </row>
        <row r="111">
          <cell r="A111">
            <v>100</v>
          </cell>
          <cell r="B111">
            <v>85</v>
          </cell>
          <cell r="C111">
            <v>43101</v>
          </cell>
          <cell r="D111">
            <v>43070</v>
          </cell>
          <cell r="E111">
            <v>12004.69000000001</v>
          </cell>
          <cell r="F111">
            <v>35830.99</v>
          </cell>
          <cell r="G111">
            <v>47835.680000000008</v>
          </cell>
          <cell r="H111">
            <v>1571.53</v>
          </cell>
          <cell r="L111">
            <v>3081.45</v>
          </cell>
          <cell r="M111">
            <v>10600</v>
          </cell>
          <cell r="O111">
            <v>0</v>
          </cell>
          <cell r="S111">
            <v>63088.66</v>
          </cell>
          <cell r="T111">
            <v>7531362.3099999949</v>
          </cell>
        </row>
        <row r="112">
          <cell r="A112">
            <v>101</v>
          </cell>
          <cell r="B112">
            <v>86</v>
          </cell>
          <cell r="C112">
            <v>43132</v>
          </cell>
          <cell r="D112">
            <v>43101</v>
          </cell>
          <cell r="E112">
            <v>12061.710000000006</v>
          </cell>
          <cell r="F112">
            <v>35773.97</v>
          </cell>
          <cell r="G112">
            <v>47835.680000000008</v>
          </cell>
          <cell r="H112">
            <v>1571.53</v>
          </cell>
          <cell r="L112">
            <v>3081.45</v>
          </cell>
          <cell r="M112">
            <v>10600</v>
          </cell>
          <cell r="O112">
            <v>0</v>
          </cell>
          <cell r="S112">
            <v>63088.66</v>
          </cell>
          <cell r="T112">
            <v>7519300.599999995</v>
          </cell>
        </row>
        <row r="113">
          <cell r="A113">
            <v>102</v>
          </cell>
          <cell r="B113">
            <v>87</v>
          </cell>
          <cell r="C113">
            <v>43160</v>
          </cell>
          <cell r="D113">
            <v>43132</v>
          </cell>
          <cell r="E113">
            <v>12119.000000000007</v>
          </cell>
          <cell r="F113">
            <v>35716.68</v>
          </cell>
          <cell r="G113">
            <v>47835.680000000008</v>
          </cell>
          <cell r="H113">
            <v>1571.53</v>
          </cell>
          <cell r="L113">
            <v>3081.45</v>
          </cell>
          <cell r="M113">
            <v>10600</v>
          </cell>
          <cell r="O113">
            <v>0</v>
          </cell>
          <cell r="S113">
            <v>63088.66</v>
          </cell>
          <cell r="T113">
            <v>7507181.599999995</v>
          </cell>
        </row>
        <row r="114">
          <cell r="A114">
            <v>103</v>
          </cell>
          <cell r="B114">
            <v>88</v>
          </cell>
          <cell r="C114">
            <v>43191</v>
          </cell>
          <cell r="D114">
            <v>43160</v>
          </cell>
          <cell r="E114">
            <v>12176.570000000007</v>
          </cell>
          <cell r="F114">
            <v>35659.11</v>
          </cell>
          <cell r="G114">
            <v>47835.680000000008</v>
          </cell>
          <cell r="H114">
            <v>1571.53</v>
          </cell>
          <cell r="L114">
            <v>3081.45</v>
          </cell>
          <cell r="M114">
            <v>10600</v>
          </cell>
          <cell r="O114">
            <v>0</v>
          </cell>
          <cell r="S114">
            <v>63088.66</v>
          </cell>
          <cell r="T114">
            <v>7495005.0299999947</v>
          </cell>
        </row>
        <row r="115">
          <cell r="A115">
            <v>104</v>
          </cell>
          <cell r="B115">
            <v>89</v>
          </cell>
          <cell r="C115">
            <v>43221</v>
          </cell>
          <cell r="D115">
            <v>43191</v>
          </cell>
          <cell r="E115">
            <v>12234.410000000011</v>
          </cell>
          <cell r="F115">
            <v>35601.269999999997</v>
          </cell>
          <cell r="G115">
            <v>47835.680000000008</v>
          </cell>
          <cell r="H115">
            <v>1571.53</v>
          </cell>
          <cell r="L115">
            <v>3081.45</v>
          </cell>
          <cell r="M115">
            <v>10600</v>
          </cell>
          <cell r="O115">
            <v>0</v>
          </cell>
          <cell r="S115">
            <v>63088.66</v>
          </cell>
          <cell r="T115">
            <v>7482770.6199999945</v>
          </cell>
        </row>
        <row r="116">
          <cell r="A116">
            <v>105</v>
          </cell>
          <cell r="B116">
            <v>90</v>
          </cell>
          <cell r="C116">
            <v>43252</v>
          </cell>
          <cell r="D116">
            <v>43221</v>
          </cell>
          <cell r="E116">
            <v>12292.520000000004</v>
          </cell>
          <cell r="F116">
            <v>35543.160000000003</v>
          </cell>
          <cell r="G116">
            <v>47835.680000000008</v>
          </cell>
          <cell r="H116">
            <v>1571.53</v>
          </cell>
          <cell r="L116">
            <v>3081.45</v>
          </cell>
          <cell r="M116">
            <v>10600</v>
          </cell>
          <cell r="O116">
            <v>0</v>
          </cell>
          <cell r="S116">
            <v>63088.66</v>
          </cell>
          <cell r="T116">
            <v>7470478.099999995</v>
          </cell>
        </row>
        <row r="117">
          <cell r="A117">
            <v>106</v>
          </cell>
          <cell r="B117">
            <v>91</v>
          </cell>
          <cell r="C117">
            <v>43282</v>
          </cell>
          <cell r="D117">
            <v>43252</v>
          </cell>
          <cell r="E117">
            <v>12350.910000000011</v>
          </cell>
          <cell r="F117">
            <v>35484.769999999997</v>
          </cell>
          <cell r="G117">
            <v>47835.680000000008</v>
          </cell>
          <cell r="H117">
            <v>1571.53</v>
          </cell>
          <cell r="L117">
            <v>3081.45</v>
          </cell>
          <cell r="M117">
            <v>10600</v>
          </cell>
          <cell r="O117">
            <v>0</v>
          </cell>
          <cell r="S117">
            <v>63088.66</v>
          </cell>
          <cell r="T117">
            <v>7458127.1899999948</v>
          </cell>
        </row>
        <row r="118">
          <cell r="A118">
            <v>107</v>
          </cell>
          <cell r="B118">
            <v>92</v>
          </cell>
          <cell r="C118">
            <v>43313</v>
          </cell>
          <cell r="D118">
            <v>43282</v>
          </cell>
          <cell r="E118">
            <v>12409.580000000009</v>
          </cell>
          <cell r="F118">
            <v>35426.1</v>
          </cell>
          <cell r="G118">
            <v>47835.680000000008</v>
          </cell>
          <cell r="H118">
            <v>1571.53</v>
          </cell>
          <cell r="L118">
            <v>3081.45</v>
          </cell>
          <cell r="M118">
            <v>10600</v>
          </cell>
          <cell r="O118">
            <v>0</v>
          </cell>
          <cell r="S118">
            <v>63088.66</v>
          </cell>
          <cell r="T118">
            <v>7445717.6099999947</v>
          </cell>
        </row>
        <row r="119">
          <cell r="A119">
            <v>108</v>
          </cell>
          <cell r="B119">
            <v>93</v>
          </cell>
          <cell r="C119">
            <v>43344</v>
          </cell>
          <cell r="D119">
            <v>43313</v>
          </cell>
          <cell r="E119">
            <v>12468.520000000004</v>
          </cell>
          <cell r="F119">
            <v>35367.160000000003</v>
          </cell>
          <cell r="G119">
            <v>47835.680000000008</v>
          </cell>
          <cell r="H119">
            <v>1571.53</v>
          </cell>
          <cell r="L119">
            <v>3081.45</v>
          </cell>
          <cell r="M119">
            <v>10600</v>
          </cell>
          <cell r="O119">
            <v>0</v>
          </cell>
          <cell r="S119">
            <v>63088.66</v>
          </cell>
          <cell r="T119">
            <v>7433249.0899999952</v>
          </cell>
        </row>
        <row r="120">
          <cell r="A120">
            <v>109</v>
          </cell>
          <cell r="B120">
            <v>94</v>
          </cell>
          <cell r="C120">
            <v>43374</v>
          </cell>
          <cell r="D120">
            <v>43344</v>
          </cell>
          <cell r="E120">
            <v>12527.750000000007</v>
          </cell>
          <cell r="F120">
            <v>35307.93</v>
          </cell>
          <cell r="G120">
            <v>47835.680000000008</v>
          </cell>
          <cell r="H120">
            <v>1571.53</v>
          </cell>
          <cell r="L120">
            <v>3081.45</v>
          </cell>
          <cell r="M120">
            <v>10600</v>
          </cell>
          <cell r="O120">
            <v>0</v>
          </cell>
          <cell r="S120">
            <v>63088.66</v>
          </cell>
          <cell r="T120">
            <v>7420721.3399999952</v>
          </cell>
        </row>
        <row r="121">
          <cell r="A121">
            <v>110</v>
          </cell>
          <cell r="B121">
            <v>95</v>
          </cell>
          <cell r="C121">
            <v>43405</v>
          </cell>
          <cell r="D121">
            <v>43374</v>
          </cell>
          <cell r="E121">
            <v>12587.250000000007</v>
          </cell>
          <cell r="F121">
            <v>35248.43</v>
          </cell>
          <cell r="G121">
            <v>47835.680000000008</v>
          </cell>
          <cell r="H121">
            <v>1571.53</v>
          </cell>
          <cell r="L121">
            <v>3081.45</v>
          </cell>
          <cell r="M121">
            <v>10600</v>
          </cell>
          <cell r="O121">
            <v>0</v>
          </cell>
          <cell r="S121">
            <v>63088.66</v>
          </cell>
          <cell r="T121">
            <v>7408134.0899999952</v>
          </cell>
        </row>
        <row r="122">
          <cell r="A122">
            <v>111</v>
          </cell>
          <cell r="B122">
            <v>96</v>
          </cell>
          <cell r="C122">
            <v>43435</v>
          </cell>
          <cell r="D122">
            <v>43405</v>
          </cell>
          <cell r="E122">
            <v>12647.040000000008</v>
          </cell>
          <cell r="F122">
            <v>35188.639999999999</v>
          </cell>
          <cell r="G122">
            <v>47835.680000000008</v>
          </cell>
          <cell r="H122">
            <v>1571.53</v>
          </cell>
          <cell r="L122">
            <v>3081.45</v>
          </cell>
          <cell r="M122">
            <v>10600</v>
          </cell>
          <cell r="O122">
            <v>0</v>
          </cell>
          <cell r="S122">
            <v>63088.66</v>
          </cell>
          <cell r="T122">
            <v>7395487.0499999952</v>
          </cell>
        </row>
        <row r="123">
          <cell r="A123">
            <v>112</v>
          </cell>
          <cell r="B123">
            <v>97</v>
          </cell>
          <cell r="C123">
            <v>43466</v>
          </cell>
          <cell r="D123">
            <v>43435</v>
          </cell>
          <cell r="E123">
            <v>12803.630000000005</v>
          </cell>
          <cell r="F123">
            <v>35128.559999999998</v>
          </cell>
          <cell r="G123">
            <v>47932.19</v>
          </cell>
          <cell r="H123">
            <v>1540.73</v>
          </cell>
          <cell r="L123">
            <v>3015.74</v>
          </cell>
          <cell r="M123">
            <v>10600</v>
          </cell>
          <cell r="O123">
            <v>0</v>
          </cell>
          <cell r="S123">
            <v>63088.66</v>
          </cell>
          <cell r="T123">
            <v>7382683.4199999953</v>
          </cell>
        </row>
        <row r="124">
          <cell r="A124">
            <v>113</v>
          </cell>
          <cell r="B124">
            <v>98</v>
          </cell>
          <cell r="C124">
            <v>43497</v>
          </cell>
          <cell r="D124">
            <v>43466</v>
          </cell>
          <cell r="E124">
            <v>12864.440000000002</v>
          </cell>
          <cell r="F124">
            <v>35067.75</v>
          </cell>
          <cell r="G124">
            <v>47932.19</v>
          </cell>
          <cell r="H124">
            <v>1540.73</v>
          </cell>
          <cell r="L124">
            <v>3015.74</v>
          </cell>
          <cell r="M124">
            <v>10600</v>
          </cell>
          <cell r="O124">
            <v>0</v>
          </cell>
          <cell r="S124">
            <v>63088.66</v>
          </cell>
          <cell r="T124">
            <v>7369818.9799999949</v>
          </cell>
        </row>
        <row r="125">
          <cell r="A125">
            <v>114</v>
          </cell>
          <cell r="B125">
            <v>99</v>
          </cell>
          <cell r="C125">
            <v>43525</v>
          </cell>
          <cell r="D125">
            <v>43497</v>
          </cell>
          <cell r="E125">
            <v>12925.550000000003</v>
          </cell>
          <cell r="F125">
            <v>35006.639999999999</v>
          </cell>
          <cell r="G125">
            <v>47932.19</v>
          </cell>
          <cell r="H125">
            <v>1540.73</v>
          </cell>
          <cell r="L125">
            <v>3015.74</v>
          </cell>
          <cell r="M125">
            <v>10600</v>
          </cell>
          <cell r="O125">
            <v>0</v>
          </cell>
          <cell r="S125">
            <v>63088.66</v>
          </cell>
          <cell r="T125">
            <v>7356893.429999995</v>
          </cell>
        </row>
        <row r="126">
          <cell r="A126">
            <v>115</v>
          </cell>
          <cell r="B126">
            <v>100</v>
          </cell>
          <cell r="C126">
            <v>43556</v>
          </cell>
          <cell r="D126">
            <v>43525</v>
          </cell>
          <cell r="E126">
            <v>12986.950000000004</v>
          </cell>
          <cell r="F126">
            <v>34945.24</v>
          </cell>
          <cell r="G126">
            <v>47932.19</v>
          </cell>
          <cell r="H126">
            <v>1540.73</v>
          </cell>
          <cell r="L126">
            <v>3015.74</v>
          </cell>
          <cell r="M126">
            <v>10600</v>
          </cell>
          <cell r="O126">
            <v>0</v>
          </cell>
          <cell r="S126">
            <v>63088.66</v>
          </cell>
          <cell r="T126">
            <v>7343906.4799999949</v>
          </cell>
        </row>
        <row r="127">
          <cell r="A127">
            <v>116</v>
          </cell>
          <cell r="B127">
            <v>101</v>
          </cell>
          <cell r="C127">
            <v>43586</v>
          </cell>
          <cell r="D127">
            <v>43556</v>
          </cell>
          <cell r="E127">
            <v>13048.630000000005</v>
          </cell>
          <cell r="F127">
            <v>34883.56</v>
          </cell>
          <cell r="G127">
            <v>47932.19</v>
          </cell>
          <cell r="H127">
            <v>1540.73</v>
          </cell>
          <cell r="L127">
            <v>3015.74</v>
          </cell>
          <cell r="M127">
            <v>10600</v>
          </cell>
          <cell r="O127">
            <v>0</v>
          </cell>
          <cell r="S127">
            <v>63088.66</v>
          </cell>
          <cell r="T127">
            <v>7330857.849999995</v>
          </cell>
        </row>
        <row r="128">
          <cell r="A128">
            <v>117</v>
          </cell>
          <cell r="B128">
            <v>102</v>
          </cell>
          <cell r="C128">
            <v>43617</v>
          </cell>
          <cell r="D128">
            <v>43586</v>
          </cell>
          <cell r="E128">
            <v>13110.620000000003</v>
          </cell>
          <cell r="F128">
            <v>34821.57</v>
          </cell>
          <cell r="G128">
            <v>47932.19</v>
          </cell>
          <cell r="H128">
            <v>1540.73</v>
          </cell>
          <cell r="L128">
            <v>3015.74</v>
          </cell>
          <cell r="M128">
            <v>10600</v>
          </cell>
          <cell r="O128">
            <v>0</v>
          </cell>
          <cell r="S128">
            <v>63088.66</v>
          </cell>
          <cell r="T128">
            <v>7317747.2299999949</v>
          </cell>
        </row>
        <row r="129">
          <cell r="A129">
            <v>118</v>
          </cell>
          <cell r="B129">
            <v>103</v>
          </cell>
          <cell r="C129">
            <v>43647</v>
          </cell>
          <cell r="D129">
            <v>43617</v>
          </cell>
          <cell r="E129">
            <v>13172.89</v>
          </cell>
          <cell r="F129">
            <v>34759.300000000003</v>
          </cell>
          <cell r="G129">
            <v>47932.19</v>
          </cell>
          <cell r="H129">
            <v>1540.73</v>
          </cell>
          <cell r="L129">
            <v>3015.74</v>
          </cell>
          <cell r="M129">
            <v>10600</v>
          </cell>
          <cell r="O129">
            <v>0</v>
          </cell>
          <cell r="S129">
            <v>63088.66</v>
          </cell>
          <cell r="T129">
            <v>7304574.3399999952</v>
          </cell>
        </row>
        <row r="130">
          <cell r="A130">
            <v>119</v>
          </cell>
          <cell r="B130">
            <v>104</v>
          </cell>
          <cell r="C130">
            <v>43678</v>
          </cell>
          <cell r="D130">
            <v>43647</v>
          </cell>
          <cell r="E130">
            <v>13235.46</v>
          </cell>
          <cell r="F130">
            <v>34696.730000000003</v>
          </cell>
          <cell r="G130">
            <v>47932.19</v>
          </cell>
          <cell r="H130">
            <v>1540.73</v>
          </cell>
          <cell r="L130">
            <v>3015.74</v>
          </cell>
          <cell r="M130">
            <v>10600</v>
          </cell>
          <cell r="O130">
            <v>0</v>
          </cell>
          <cell r="S130">
            <v>63088.66</v>
          </cell>
          <cell r="T130">
            <v>7291338.8799999952</v>
          </cell>
        </row>
        <row r="131">
          <cell r="A131">
            <v>120</v>
          </cell>
          <cell r="B131">
            <v>105</v>
          </cell>
          <cell r="C131">
            <v>43709</v>
          </cell>
          <cell r="D131">
            <v>43678</v>
          </cell>
          <cell r="E131">
            <v>13298.330000000002</v>
          </cell>
          <cell r="F131">
            <v>34633.86</v>
          </cell>
          <cell r="G131">
            <v>47932.19</v>
          </cell>
          <cell r="H131">
            <v>1540.73</v>
          </cell>
          <cell r="L131">
            <v>3015.74</v>
          </cell>
          <cell r="M131">
            <v>10600</v>
          </cell>
          <cell r="O131">
            <v>0</v>
          </cell>
          <cell r="S131">
            <v>63088.66</v>
          </cell>
          <cell r="T131">
            <v>7278040.5499999952</v>
          </cell>
        </row>
        <row r="132">
          <cell r="A132">
            <v>121</v>
          </cell>
          <cell r="B132">
            <v>106</v>
          </cell>
          <cell r="C132">
            <v>43739</v>
          </cell>
          <cell r="D132">
            <v>43709</v>
          </cell>
          <cell r="E132">
            <v>13361.5</v>
          </cell>
          <cell r="F132">
            <v>34570.69</v>
          </cell>
          <cell r="G132">
            <v>47932.19</v>
          </cell>
          <cell r="H132">
            <v>1540.73</v>
          </cell>
          <cell r="L132">
            <v>3015.74</v>
          </cell>
          <cell r="M132">
            <v>10600</v>
          </cell>
          <cell r="O132">
            <v>0</v>
          </cell>
          <cell r="S132">
            <v>63088.66</v>
          </cell>
          <cell r="T132">
            <v>7264679.0499999952</v>
          </cell>
        </row>
        <row r="133">
          <cell r="A133">
            <v>122</v>
          </cell>
          <cell r="B133">
            <v>107</v>
          </cell>
          <cell r="C133">
            <v>43770</v>
          </cell>
          <cell r="D133">
            <v>43739</v>
          </cell>
          <cell r="E133">
            <v>13424.96</v>
          </cell>
          <cell r="F133">
            <v>34507.230000000003</v>
          </cell>
          <cell r="G133">
            <v>47932.19</v>
          </cell>
          <cell r="H133">
            <v>1540.73</v>
          </cell>
          <cell r="L133">
            <v>3015.74</v>
          </cell>
          <cell r="M133">
            <v>10600</v>
          </cell>
          <cell r="O133">
            <v>0</v>
          </cell>
          <cell r="S133">
            <v>63088.66</v>
          </cell>
          <cell r="T133">
            <v>7251254.0899999952</v>
          </cell>
        </row>
        <row r="134">
          <cell r="A134">
            <v>123</v>
          </cell>
          <cell r="B134">
            <v>108</v>
          </cell>
          <cell r="C134">
            <v>43800</v>
          </cell>
          <cell r="D134">
            <v>43770</v>
          </cell>
          <cell r="E134">
            <v>13488.730000000003</v>
          </cell>
          <cell r="F134">
            <v>34443.46</v>
          </cell>
          <cell r="G134">
            <v>47932.19</v>
          </cell>
          <cell r="H134">
            <v>1540.73</v>
          </cell>
          <cell r="L134">
            <v>3015.74</v>
          </cell>
          <cell r="M134">
            <v>10600</v>
          </cell>
          <cell r="O134">
            <v>0</v>
          </cell>
          <cell r="S134">
            <v>63088.66</v>
          </cell>
          <cell r="T134">
            <v>7237765.3599999947</v>
          </cell>
        </row>
        <row r="135">
          <cell r="A135">
            <v>124</v>
          </cell>
          <cell r="B135">
            <v>109</v>
          </cell>
          <cell r="C135">
            <v>43831</v>
          </cell>
          <cell r="D135">
            <v>43800</v>
          </cell>
          <cell r="E135">
            <v>13655.760000000002</v>
          </cell>
          <cell r="F135">
            <v>34379.39</v>
          </cell>
          <cell r="G135">
            <v>48035.15</v>
          </cell>
          <cell r="H135">
            <v>1507.87</v>
          </cell>
          <cell r="L135">
            <v>2945.64</v>
          </cell>
          <cell r="M135">
            <v>10600</v>
          </cell>
          <cell r="O135">
            <v>0</v>
          </cell>
          <cell r="S135">
            <v>63088.66</v>
          </cell>
          <cell r="T135">
            <v>7224109.599999995</v>
          </cell>
        </row>
        <row r="136">
          <cell r="A136">
            <v>125</v>
          </cell>
          <cell r="B136">
            <v>110</v>
          </cell>
          <cell r="C136">
            <v>43862</v>
          </cell>
          <cell r="D136">
            <v>43831</v>
          </cell>
          <cell r="E136">
            <v>13720.630000000005</v>
          </cell>
          <cell r="F136">
            <v>34314.519999999997</v>
          </cell>
          <cell r="G136">
            <v>48035.15</v>
          </cell>
          <cell r="H136">
            <v>1507.87</v>
          </cell>
          <cell r="L136">
            <v>2945.64</v>
          </cell>
          <cell r="M136">
            <v>10600</v>
          </cell>
          <cell r="O136">
            <v>0</v>
          </cell>
          <cell r="S136">
            <v>63088.66</v>
          </cell>
          <cell r="T136">
            <v>7210388.9699999951</v>
          </cell>
        </row>
        <row r="137">
          <cell r="A137">
            <v>126</v>
          </cell>
          <cell r="B137">
            <v>111</v>
          </cell>
          <cell r="C137">
            <v>43891</v>
          </cell>
          <cell r="D137">
            <v>43862</v>
          </cell>
          <cell r="E137">
            <v>13785.800000000003</v>
          </cell>
          <cell r="F137">
            <v>34249.35</v>
          </cell>
          <cell r="G137">
            <v>48035.15</v>
          </cell>
          <cell r="H137">
            <v>1507.87</v>
          </cell>
          <cell r="L137">
            <v>2945.64</v>
          </cell>
          <cell r="M137">
            <v>10600</v>
          </cell>
          <cell r="O137">
            <v>0</v>
          </cell>
          <cell r="S137">
            <v>63088.66</v>
          </cell>
          <cell r="T137">
            <v>7196603.1699999953</v>
          </cell>
        </row>
        <row r="138">
          <cell r="A138">
            <v>127</v>
          </cell>
          <cell r="B138">
            <v>112</v>
          </cell>
          <cell r="C138">
            <v>43922</v>
          </cell>
          <cell r="D138">
            <v>43891</v>
          </cell>
          <cell r="E138">
            <v>13851.279999999999</v>
          </cell>
          <cell r="F138">
            <v>34183.870000000003</v>
          </cell>
          <cell r="G138">
            <v>48035.15</v>
          </cell>
          <cell r="H138">
            <v>1507.87</v>
          </cell>
          <cell r="L138">
            <v>2945.64</v>
          </cell>
          <cell r="M138">
            <v>10600</v>
          </cell>
          <cell r="O138">
            <v>0</v>
          </cell>
          <cell r="S138">
            <v>63088.66</v>
          </cell>
          <cell r="T138">
            <v>7182751.889999995</v>
          </cell>
        </row>
        <row r="139">
          <cell r="A139">
            <v>128</v>
          </cell>
          <cell r="B139">
            <v>113</v>
          </cell>
          <cell r="C139">
            <v>43952</v>
          </cell>
          <cell r="D139">
            <v>43922</v>
          </cell>
          <cell r="E139">
            <v>13917.080000000002</v>
          </cell>
          <cell r="F139">
            <v>34118.07</v>
          </cell>
          <cell r="G139">
            <v>48035.15</v>
          </cell>
          <cell r="H139">
            <v>1507.87</v>
          </cell>
          <cell r="L139">
            <v>2945.64</v>
          </cell>
          <cell r="M139">
            <v>10600</v>
          </cell>
          <cell r="O139">
            <v>0</v>
          </cell>
          <cell r="S139">
            <v>63088.66</v>
          </cell>
          <cell r="T139">
            <v>7168834.8099999949</v>
          </cell>
        </row>
        <row r="140">
          <cell r="A140">
            <v>129</v>
          </cell>
          <cell r="B140">
            <v>114</v>
          </cell>
          <cell r="C140">
            <v>43983</v>
          </cell>
          <cell r="D140">
            <v>43952</v>
          </cell>
          <cell r="E140">
            <v>13983.18</v>
          </cell>
          <cell r="F140">
            <v>34051.97</v>
          </cell>
          <cell r="G140">
            <v>48035.15</v>
          </cell>
          <cell r="H140">
            <v>1507.87</v>
          </cell>
          <cell r="L140">
            <v>2945.64</v>
          </cell>
          <cell r="M140">
            <v>10600</v>
          </cell>
          <cell r="O140">
            <v>0</v>
          </cell>
          <cell r="S140">
            <v>63088.66</v>
          </cell>
          <cell r="T140">
            <v>7154851.6299999952</v>
          </cell>
        </row>
        <row r="141">
          <cell r="A141">
            <v>130</v>
          </cell>
          <cell r="B141">
            <v>115</v>
          </cell>
          <cell r="C141">
            <v>44013</v>
          </cell>
          <cell r="D141">
            <v>43983</v>
          </cell>
          <cell r="E141">
            <v>14049.599999999999</v>
          </cell>
          <cell r="F141">
            <v>33985.550000000003</v>
          </cell>
          <cell r="G141">
            <v>48035.15</v>
          </cell>
          <cell r="H141">
            <v>1507.87</v>
          </cell>
          <cell r="L141">
            <v>2945.64</v>
          </cell>
          <cell r="M141">
            <v>10600</v>
          </cell>
          <cell r="O141">
            <v>0</v>
          </cell>
          <cell r="S141">
            <v>63088.66</v>
          </cell>
          <cell r="T141">
            <v>7140802.0299999956</v>
          </cell>
        </row>
        <row r="142">
          <cell r="A142">
            <v>131</v>
          </cell>
          <cell r="B142">
            <v>116</v>
          </cell>
          <cell r="C142">
            <v>44044</v>
          </cell>
          <cell r="D142">
            <v>44013</v>
          </cell>
          <cell r="E142">
            <v>14116.340000000004</v>
          </cell>
          <cell r="F142">
            <v>33918.81</v>
          </cell>
          <cell r="G142">
            <v>48035.15</v>
          </cell>
          <cell r="H142">
            <v>1507.87</v>
          </cell>
          <cell r="L142">
            <v>2945.64</v>
          </cell>
          <cell r="M142">
            <v>10600</v>
          </cell>
          <cell r="O142">
            <v>0</v>
          </cell>
          <cell r="S142">
            <v>63088.66</v>
          </cell>
          <cell r="T142">
            <v>7126685.6899999958</v>
          </cell>
        </row>
        <row r="143">
          <cell r="A143">
            <v>132</v>
          </cell>
          <cell r="B143">
            <v>117</v>
          </cell>
          <cell r="C143">
            <v>44075</v>
          </cell>
          <cell r="D143">
            <v>44044</v>
          </cell>
          <cell r="E143">
            <v>14183.39</v>
          </cell>
          <cell r="F143">
            <v>33851.760000000002</v>
          </cell>
          <cell r="G143">
            <v>48035.15</v>
          </cell>
          <cell r="H143">
            <v>1507.87</v>
          </cell>
          <cell r="L143">
            <v>2945.64</v>
          </cell>
          <cell r="M143">
            <v>10600</v>
          </cell>
          <cell r="O143">
            <v>0</v>
          </cell>
          <cell r="S143">
            <v>63088.66</v>
          </cell>
          <cell r="T143">
            <v>7112502.2999999961</v>
          </cell>
        </row>
        <row r="144">
          <cell r="A144">
            <v>133</v>
          </cell>
          <cell r="B144">
            <v>118</v>
          </cell>
          <cell r="C144">
            <v>44105</v>
          </cell>
          <cell r="D144">
            <v>44075</v>
          </cell>
          <cell r="E144">
            <v>14250.760000000002</v>
          </cell>
          <cell r="F144">
            <v>33784.39</v>
          </cell>
          <cell r="G144">
            <v>48035.15</v>
          </cell>
          <cell r="H144">
            <v>1507.87</v>
          </cell>
          <cell r="L144">
            <v>2945.64</v>
          </cell>
          <cell r="M144">
            <v>10600</v>
          </cell>
          <cell r="O144">
            <v>0</v>
          </cell>
          <cell r="S144">
            <v>63088.66</v>
          </cell>
          <cell r="T144">
            <v>7098251.5399999963</v>
          </cell>
        </row>
        <row r="145">
          <cell r="A145">
            <v>134</v>
          </cell>
          <cell r="B145">
            <v>119</v>
          </cell>
          <cell r="C145">
            <v>44136</v>
          </cell>
          <cell r="D145">
            <v>44105</v>
          </cell>
          <cell r="E145">
            <v>14318.46</v>
          </cell>
          <cell r="F145">
            <v>33716.69</v>
          </cell>
          <cell r="G145">
            <v>48035.15</v>
          </cell>
          <cell r="H145">
            <v>1507.87</v>
          </cell>
          <cell r="L145">
            <v>2945.64</v>
          </cell>
          <cell r="M145">
            <v>10600</v>
          </cell>
          <cell r="O145">
            <v>0</v>
          </cell>
          <cell r="S145">
            <v>63088.66</v>
          </cell>
          <cell r="T145">
            <v>7083933.0799999963</v>
          </cell>
        </row>
        <row r="146">
          <cell r="A146">
            <v>135</v>
          </cell>
          <cell r="B146">
            <v>120</v>
          </cell>
          <cell r="C146">
            <v>44166</v>
          </cell>
          <cell r="D146">
            <v>44136</v>
          </cell>
          <cell r="E146">
            <v>14386.470000000001</v>
          </cell>
          <cell r="F146">
            <v>33648.68</v>
          </cell>
          <cell r="G146">
            <v>48035.15</v>
          </cell>
          <cell r="H146">
            <v>1507.87</v>
          </cell>
          <cell r="L146">
            <v>2945.64</v>
          </cell>
          <cell r="M146">
            <v>10600</v>
          </cell>
          <cell r="O146">
            <v>0</v>
          </cell>
          <cell r="S146">
            <v>63088.66</v>
          </cell>
          <cell r="T146">
            <v>7069546.6099999966</v>
          </cell>
        </row>
        <row r="147">
          <cell r="A147">
            <v>136</v>
          </cell>
          <cell r="B147">
            <v>121</v>
          </cell>
          <cell r="C147">
            <v>44197</v>
          </cell>
          <cell r="D147">
            <v>44166</v>
          </cell>
          <cell r="E147">
            <v>14564.600000000006</v>
          </cell>
          <cell r="F147">
            <v>33580.35</v>
          </cell>
          <cell r="G147">
            <v>48144.950000000004</v>
          </cell>
          <cell r="H147">
            <v>1472.82</v>
          </cell>
          <cell r="L147">
            <v>2870.89</v>
          </cell>
          <cell r="M147">
            <v>10600</v>
          </cell>
          <cell r="O147">
            <v>0</v>
          </cell>
          <cell r="S147">
            <v>63088.66</v>
          </cell>
          <cell r="T147">
            <v>7054982.009999997</v>
          </cell>
        </row>
        <row r="148">
          <cell r="A148">
            <v>137</v>
          </cell>
          <cell r="B148">
            <v>122</v>
          </cell>
          <cell r="C148">
            <v>44228</v>
          </cell>
          <cell r="D148">
            <v>44197</v>
          </cell>
          <cell r="E148">
            <v>14633.79</v>
          </cell>
          <cell r="F148">
            <v>33511.160000000003</v>
          </cell>
          <cell r="G148">
            <v>48144.950000000004</v>
          </cell>
          <cell r="H148">
            <v>1472.82</v>
          </cell>
          <cell r="L148">
            <v>2870.89</v>
          </cell>
          <cell r="M148">
            <v>10600</v>
          </cell>
          <cell r="O148">
            <v>0</v>
          </cell>
          <cell r="S148">
            <v>63088.66</v>
          </cell>
          <cell r="T148">
            <v>7040348.2199999969</v>
          </cell>
        </row>
        <row r="149">
          <cell r="A149">
            <v>138</v>
          </cell>
          <cell r="B149">
            <v>123</v>
          </cell>
          <cell r="C149">
            <v>44256</v>
          </cell>
          <cell r="D149">
            <v>44228</v>
          </cell>
          <cell r="E149">
            <v>14703.300000000003</v>
          </cell>
          <cell r="F149">
            <v>33441.65</v>
          </cell>
          <cell r="G149">
            <v>48144.950000000004</v>
          </cell>
          <cell r="H149">
            <v>1472.82</v>
          </cell>
          <cell r="L149">
            <v>2870.89</v>
          </cell>
          <cell r="M149">
            <v>10600</v>
          </cell>
          <cell r="O149">
            <v>0</v>
          </cell>
          <cell r="S149">
            <v>63088.66</v>
          </cell>
          <cell r="T149">
            <v>7025644.9199999971</v>
          </cell>
        </row>
        <row r="150">
          <cell r="A150">
            <v>139</v>
          </cell>
          <cell r="B150">
            <v>124</v>
          </cell>
          <cell r="C150">
            <v>44287</v>
          </cell>
          <cell r="D150">
            <v>44256</v>
          </cell>
          <cell r="E150">
            <v>14773.140000000007</v>
          </cell>
          <cell r="F150">
            <v>33371.81</v>
          </cell>
          <cell r="G150">
            <v>48144.950000000004</v>
          </cell>
          <cell r="H150">
            <v>1472.82</v>
          </cell>
          <cell r="L150">
            <v>2870.89</v>
          </cell>
          <cell r="M150">
            <v>10600</v>
          </cell>
          <cell r="O150">
            <v>0</v>
          </cell>
          <cell r="S150">
            <v>63088.66</v>
          </cell>
          <cell r="T150">
            <v>7010871.7799999975</v>
          </cell>
        </row>
        <row r="151">
          <cell r="A151">
            <v>140</v>
          </cell>
          <cell r="B151">
            <v>125</v>
          </cell>
          <cell r="C151">
            <v>44317</v>
          </cell>
          <cell r="D151">
            <v>44287</v>
          </cell>
          <cell r="E151">
            <v>14843.310000000005</v>
          </cell>
          <cell r="F151">
            <v>33301.64</v>
          </cell>
          <cell r="G151">
            <v>48144.950000000004</v>
          </cell>
          <cell r="H151">
            <v>1472.82</v>
          </cell>
          <cell r="L151">
            <v>2870.89</v>
          </cell>
          <cell r="M151">
            <v>10600</v>
          </cell>
          <cell r="O151">
            <v>0</v>
          </cell>
          <cell r="S151">
            <v>63088.66</v>
          </cell>
          <cell r="T151">
            <v>6996028.4699999979</v>
          </cell>
        </row>
        <row r="152">
          <cell r="A152">
            <v>141</v>
          </cell>
          <cell r="B152">
            <v>126</v>
          </cell>
          <cell r="C152">
            <v>44348</v>
          </cell>
          <cell r="D152">
            <v>44317</v>
          </cell>
          <cell r="E152">
            <v>14913.810000000005</v>
          </cell>
          <cell r="F152">
            <v>33231.14</v>
          </cell>
          <cell r="G152">
            <v>48144.950000000004</v>
          </cell>
          <cell r="H152">
            <v>1472.82</v>
          </cell>
          <cell r="L152">
            <v>2870.89</v>
          </cell>
          <cell r="M152">
            <v>10600</v>
          </cell>
          <cell r="O152">
            <v>0</v>
          </cell>
          <cell r="S152">
            <v>63088.66</v>
          </cell>
          <cell r="T152">
            <v>6981114.6599999983</v>
          </cell>
        </row>
        <row r="153">
          <cell r="A153">
            <v>142</v>
          </cell>
          <cell r="B153">
            <v>127</v>
          </cell>
          <cell r="C153">
            <v>44378</v>
          </cell>
          <cell r="D153">
            <v>44348</v>
          </cell>
          <cell r="E153">
            <v>14984.660000000003</v>
          </cell>
          <cell r="F153">
            <v>33160.29</v>
          </cell>
          <cell r="G153">
            <v>48144.950000000004</v>
          </cell>
          <cell r="H153">
            <v>1472.82</v>
          </cell>
          <cell r="L153">
            <v>2870.89</v>
          </cell>
          <cell r="M153">
            <v>10600</v>
          </cell>
          <cell r="O153">
            <v>0</v>
          </cell>
          <cell r="S153">
            <v>63088.66</v>
          </cell>
          <cell r="T153">
            <v>6966129.9999999981</v>
          </cell>
        </row>
        <row r="154">
          <cell r="A154">
            <v>143</v>
          </cell>
          <cell r="B154">
            <v>128</v>
          </cell>
          <cell r="C154">
            <v>44409</v>
          </cell>
          <cell r="D154">
            <v>44378</v>
          </cell>
          <cell r="E154">
            <v>15055.830000000002</v>
          </cell>
          <cell r="F154">
            <v>33089.120000000003</v>
          </cell>
          <cell r="G154">
            <v>48144.950000000004</v>
          </cell>
          <cell r="H154">
            <v>1472.82</v>
          </cell>
          <cell r="L154">
            <v>2870.89</v>
          </cell>
          <cell r="M154">
            <v>10600</v>
          </cell>
          <cell r="O154">
            <v>0</v>
          </cell>
          <cell r="S154">
            <v>63088.66</v>
          </cell>
          <cell r="T154">
            <v>6951074.1699999981</v>
          </cell>
        </row>
        <row r="155">
          <cell r="A155">
            <v>144</v>
          </cell>
          <cell r="B155">
            <v>129</v>
          </cell>
          <cell r="C155">
            <v>44440</v>
          </cell>
          <cell r="D155">
            <v>44409</v>
          </cell>
          <cell r="E155">
            <v>15127.350000000006</v>
          </cell>
          <cell r="F155">
            <v>33017.599999999999</v>
          </cell>
          <cell r="G155">
            <v>48144.950000000004</v>
          </cell>
          <cell r="H155">
            <v>1472.82</v>
          </cell>
          <cell r="L155">
            <v>2870.89</v>
          </cell>
          <cell r="M155">
            <v>10600</v>
          </cell>
          <cell r="O155">
            <v>0</v>
          </cell>
          <cell r="S155">
            <v>63088.66</v>
          </cell>
          <cell r="T155">
            <v>6935946.8199999984</v>
          </cell>
        </row>
        <row r="156">
          <cell r="A156">
            <v>145</v>
          </cell>
          <cell r="B156">
            <v>130</v>
          </cell>
          <cell r="C156">
            <v>44470</v>
          </cell>
          <cell r="D156">
            <v>44440</v>
          </cell>
          <cell r="E156">
            <v>15199.200000000004</v>
          </cell>
          <cell r="F156">
            <v>32945.75</v>
          </cell>
          <cell r="G156">
            <v>48144.950000000004</v>
          </cell>
          <cell r="H156">
            <v>1472.82</v>
          </cell>
          <cell r="L156">
            <v>2870.89</v>
          </cell>
          <cell r="M156">
            <v>10600</v>
          </cell>
          <cell r="O156">
            <v>0</v>
          </cell>
          <cell r="S156">
            <v>63088.66</v>
          </cell>
          <cell r="T156">
            <v>6920747.6199999982</v>
          </cell>
        </row>
        <row r="157">
          <cell r="A157">
            <v>146</v>
          </cell>
          <cell r="B157">
            <v>131</v>
          </cell>
          <cell r="C157">
            <v>44501</v>
          </cell>
          <cell r="D157">
            <v>44470</v>
          </cell>
          <cell r="E157">
            <v>15271.400000000001</v>
          </cell>
          <cell r="F157">
            <v>32873.550000000003</v>
          </cell>
          <cell r="G157">
            <v>48144.950000000004</v>
          </cell>
          <cell r="H157">
            <v>1472.82</v>
          </cell>
          <cell r="L157">
            <v>2870.89</v>
          </cell>
          <cell r="M157">
            <v>10600</v>
          </cell>
          <cell r="O157">
            <v>0</v>
          </cell>
          <cell r="S157">
            <v>63088.66</v>
          </cell>
          <cell r="T157">
            <v>6905476.2199999979</v>
          </cell>
        </row>
        <row r="158">
          <cell r="A158">
            <v>147</v>
          </cell>
          <cell r="B158">
            <v>132</v>
          </cell>
          <cell r="C158">
            <v>44531</v>
          </cell>
          <cell r="D158">
            <v>44501</v>
          </cell>
          <cell r="E158">
            <v>15343.940000000002</v>
          </cell>
          <cell r="F158">
            <v>32801.01</v>
          </cell>
          <cell r="G158">
            <v>48144.950000000004</v>
          </cell>
          <cell r="H158">
            <v>1472.82</v>
          </cell>
          <cell r="L158">
            <v>2870.89</v>
          </cell>
          <cell r="M158">
            <v>10600</v>
          </cell>
          <cell r="O158">
            <v>0</v>
          </cell>
          <cell r="S158">
            <v>63088.66</v>
          </cell>
          <cell r="T158">
            <v>6890132.2799999975</v>
          </cell>
        </row>
        <row r="159">
          <cell r="A159">
            <v>148</v>
          </cell>
          <cell r="B159">
            <v>133</v>
          </cell>
          <cell r="C159">
            <v>44562</v>
          </cell>
          <cell r="D159">
            <v>44531</v>
          </cell>
          <cell r="E159">
            <v>15533.929999999997</v>
          </cell>
          <cell r="F159">
            <v>32728.13</v>
          </cell>
          <cell r="G159">
            <v>48262.06</v>
          </cell>
          <cell r="H159">
            <v>1435.44</v>
          </cell>
          <cell r="L159">
            <v>2791.16</v>
          </cell>
          <cell r="M159">
            <v>10600</v>
          </cell>
          <cell r="O159">
            <v>0</v>
          </cell>
          <cell r="S159">
            <v>63088.659999999996</v>
          </cell>
          <cell r="T159">
            <v>6874598.3499999978</v>
          </cell>
        </row>
        <row r="160">
          <cell r="A160">
            <v>149</v>
          </cell>
          <cell r="B160">
            <v>134</v>
          </cell>
          <cell r="C160">
            <v>44593</v>
          </cell>
          <cell r="D160">
            <v>44562</v>
          </cell>
          <cell r="E160">
            <v>15607.719999999998</v>
          </cell>
          <cell r="F160">
            <v>32654.34</v>
          </cell>
          <cell r="G160">
            <v>48262.06</v>
          </cell>
          <cell r="H160">
            <v>1435.44</v>
          </cell>
          <cell r="L160">
            <v>2791.16</v>
          </cell>
          <cell r="M160">
            <v>10600</v>
          </cell>
          <cell r="O160">
            <v>0</v>
          </cell>
          <cell r="S160">
            <v>63088.659999999996</v>
          </cell>
          <cell r="T160">
            <v>6858990.629999998</v>
          </cell>
        </row>
        <row r="161">
          <cell r="A161">
            <v>150</v>
          </cell>
          <cell r="B161">
            <v>135</v>
          </cell>
          <cell r="C161">
            <v>44621</v>
          </cell>
          <cell r="D161">
            <v>44593</v>
          </cell>
          <cell r="E161">
            <v>15681.849999999999</v>
          </cell>
          <cell r="F161">
            <v>32580.21</v>
          </cell>
          <cell r="G161">
            <v>48262.06</v>
          </cell>
          <cell r="H161">
            <v>1435.44</v>
          </cell>
          <cell r="L161">
            <v>2791.16</v>
          </cell>
          <cell r="M161">
            <v>10600</v>
          </cell>
          <cell r="O161">
            <v>0</v>
          </cell>
          <cell r="S161">
            <v>63088.659999999996</v>
          </cell>
          <cell r="T161">
            <v>6843308.7799999984</v>
          </cell>
        </row>
        <row r="162">
          <cell r="A162">
            <v>151</v>
          </cell>
          <cell r="B162">
            <v>136</v>
          </cell>
          <cell r="C162">
            <v>44652</v>
          </cell>
          <cell r="D162">
            <v>44621</v>
          </cell>
          <cell r="E162">
            <v>15756.339999999997</v>
          </cell>
          <cell r="F162">
            <v>32505.72</v>
          </cell>
          <cell r="G162">
            <v>48262.06</v>
          </cell>
          <cell r="H162">
            <v>1435.44</v>
          </cell>
          <cell r="L162">
            <v>2791.16</v>
          </cell>
          <cell r="M162">
            <v>10600</v>
          </cell>
          <cell r="O162">
            <v>0</v>
          </cell>
          <cell r="S162">
            <v>63088.659999999996</v>
          </cell>
          <cell r="T162">
            <v>6827552.4399999985</v>
          </cell>
        </row>
        <row r="163">
          <cell r="A163">
            <v>152</v>
          </cell>
          <cell r="B163">
            <v>137</v>
          </cell>
          <cell r="C163">
            <v>44682</v>
          </cell>
          <cell r="D163">
            <v>44652</v>
          </cell>
          <cell r="E163">
            <v>15831.189999999999</v>
          </cell>
          <cell r="F163">
            <v>32430.87</v>
          </cell>
          <cell r="G163">
            <v>48262.06</v>
          </cell>
          <cell r="H163">
            <v>1435.44</v>
          </cell>
          <cell r="L163">
            <v>2791.16</v>
          </cell>
          <cell r="M163">
            <v>10600</v>
          </cell>
          <cell r="O163">
            <v>0</v>
          </cell>
          <cell r="S163">
            <v>63088.659999999996</v>
          </cell>
          <cell r="T163">
            <v>6811721.2499999981</v>
          </cell>
        </row>
        <row r="164">
          <cell r="A164">
            <v>153</v>
          </cell>
          <cell r="B164">
            <v>138</v>
          </cell>
          <cell r="C164">
            <v>44713</v>
          </cell>
          <cell r="D164">
            <v>44682</v>
          </cell>
          <cell r="E164">
            <v>15906.379999999997</v>
          </cell>
          <cell r="F164">
            <v>32355.68</v>
          </cell>
          <cell r="G164">
            <v>48262.06</v>
          </cell>
          <cell r="H164">
            <v>1435.44</v>
          </cell>
          <cell r="L164">
            <v>2791.16</v>
          </cell>
          <cell r="M164">
            <v>10600</v>
          </cell>
          <cell r="O164">
            <v>0</v>
          </cell>
          <cell r="S164">
            <v>63088.659999999996</v>
          </cell>
          <cell r="T164">
            <v>6795814.8699999982</v>
          </cell>
        </row>
        <row r="165">
          <cell r="A165">
            <v>154</v>
          </cell>
          <cell r="B165">
            <v>139</v>
          </cell>
          <cell r="C165">
            <v>44743</v>
          </cell>
          <cell r="D165">
            <v>44713</v>
          </cell>
          <cell r="E165">
            <v>15981.939999999999</v>
          </cell>
          <cell r="F165">
            <v>32280.12</v>
          </cell>
          <cell r="G165">
            <v>48262.06</v>
          </cell>
          <cell r="H165">
            <v>1435.44</v>
          </cell>
          <cell r="L165">
            <v>2791.16</v>
          </cell>
          <cell r="M165">
            <v>10600</v>
          </cell>
          <cell r="O165">
            <v>0</v>
          </cell>
          <cell r="S165">
            <v>63088.659999999996</v>
          </cell>
          <cell r="T165">
            <v>6779832.9299999978</v>
          </cell>
        </row>
        <row r="166">
          <cell r="A166">
            <v>155</v>
          </cell>
          <cell r="B166">
            <v>140</v>
          </cell>
          <cell r="C166">
            <v>44774</v>
          </cell>
          <cell r="D166">
            <v>44743</v>
          </cell>
          <cell r="E166">
            <v>16057.849999999999</v>
          </cell>
          <cell r="F166">
            <v>32204.21</v>
          </cell>
          <cell r="G166">
            <v>48262.06</v>
          </cell>
          <cell r="H166">
            <v>1435.44</v>
          </cell>
          <cell r="L166">
            <v>2791.16</v>
          </cell>
          <cell r="M166">
            <v>10600</v>
          </cell>
          <cell r="O166">
            <v>0</v>
          </cell>
          <cell r="S166">
            <v>63088.659999999996</v>
          </cell>
          <cell r="T166">
            <v>6763775.0799999982</v>
          </cell>
        </row>
        <row r="167">
          <cell r="A167">
            <v>156</v>
          </cell>
          <cell r="B167">
            <v>141</v>
          </cell>
          <cell r="C167">
            <v>44805</v>
          </cell>
          <cell r="D167">
            <v>44774</v>
          </cell>
          <cell r="E167">
            <v>16134.129999999997</v>
          </cell>
          <cell r="F167">
            <v>32127.93</v>
          </cell>
          <cell r="G167">
            <v>48262.06</v>
          </cell>
          <cell r="H167">
            <v>1435.44</v>
          </cell>
          <cell r="L167">
            <v>2791.16</v>
          </cell>
          <cell r="M167">
            <v>10600</v>
          </cell>
          <cell r="O167">
            <v>0</v>
          </cell>
          <cell r="S167">
            <v>63088.659999999996</v>
          </cell>
          <cell r="T167">
            <v>6747640.9499999983</v>
          </cell>
        </row>
        <row r="168">
          <cell r="A168">
            <v>157</v>
          </cell>
          <cell r="B168">
            <v>142</v>
          </cell>
          <cell r="C168">
            <v>44835</v>
          </cell>
          <cell r="D168">
            <v>44805</v>
          </cell>
          <cell r="E168">
            <v>16210.769999999997</v>
          </cell>
          <cell r="F168">
            <v>32051.29</v>
          </cell>
          <cell r="G168">
            <v>48262.06</v>
          </cell>
          <cell r="H168">
            <v>1435.44</v>
          </cell>
          <cell r="L168">
            <v>2791.16</v>
          </cell>
          <cell r="M168">
            <v>10600</v>
          </cell>
          <cell r="O168">
            <v>0</v>
          </cell>
          <cell r="S168">
            <v>63088.659999999996</v>
          </cell>
          <cell r="T168">
            <v>6731430.1799999988</v>
          </cell>
        </row>
        <row r="169">
          <cell r="A169">
            <v>158</v>
          </cell>
          <cell r="B169">
            <v>143</v>
          </cell>
          <cell r="C169">
            <v>44866</v>
          </cell>
          <cell r="D169">
            <v>44835</v>
          </cell>
          <cell r="E169">
            <v>16287.769999999997</v>
          </cell>
          <cell r="F169">
            <v>31974.29</v>
          </cell>
          <cell r="G169">
            <v>48262.06</v>
          </cell>
          <cell r="H169">
            <v>1435.44</v>
          </cell>
          <cell r="L169">
            <v>2791.16</v>
          </cell>
          <cell r="M169">
            <v>10600</v>
          </cell>
          <cell r="O169">
            <v>0</v>
          </cell>
          <cell r="S169">
            <v>63088.659999999996</v>
          </cell>
          <cell r="T169">
            <v>6715142.4099999992</v>
          </cell>
        </row>
        <row r="170">
          <cell r="A170">
            <v>159</v>
          </cell>
          <cell r="B170">
            <v>144</v>
          </cell>
          <cell r="C170">
            <v>44896</v>
          </cell>
          <cell r="D170">
            <v>44866</v>
          </cell>
          <cell r="E170">
            <v>16365.129999999997</v>
          </cell>
          <cell r="F170">
            <v>31896.93</v>
          </cell>
          <cell r="G170">
            <v>48262.06</v>
          </cell>
          <cell r="H170">
            <v>1435.44</v>
          </cell>
          <cell r="L170">
            <v>2791.16</v>
          </cell>
          <cell r="M170">
            <v>10600</v>
          </cell>
          <cell r="O170">
            <v>0</v>
          </cell>
          <cell r="S170">
            <v>63088.659999999996</v>
          </cell>
          <cell r="T170">
            <v>6698777.2799999993</v>
          </cell>
        </row>
        <row r="171">
          <cell r="A171">
            <v>160</v>
          </cell>
          <cell r="B171">
            <v>145</v>
          </cell>
          <cell r="C171">
            <v>44927</v>
          </cell>
          <cell r="D171">
            <v>44896</v>
          </cell>
          <cell r="E171">
            <v>16567.77</v>
          </cell>
          <cell r="F171">
            <v>31819.19</v>
          </cell>
          <cell r="G171">
            <v>48386.96</v>
          </cell>
          <cell r="H171">
            <v>1395.58</v>
          </cell>
          <cell r="L171">
            <v>2706.12</v>
          </cell>
          <cell r="M171">
            <v>10600</v>
          </cell>
          <cell r="O171">
            <v>0</v>
          </cell>
          <cell r="S171">
            <v>63088.659999999996</v>
          </cell>
          <cell r="T171">
            <v>6682209.5099999998</v>
          </cell>
        </row>
        <row r="172">
          <cell r="A172">
            <v>161</v>
          </cell>
          <cell r="B172">
            <v>146</v>
          </cell>
          <cell r="C172">
            <v>44958</v>
          </cell>
          <cell r="D172">
            <v>44927</v>
          </cell>
          <cell r="E172">
            <v>16646.46</v>
          </cell>
          <cell r="F172">
            <v>31740.5</v>
          </cell>
          <cell r="G172">
            <v>48386.96</v>
          </cell>
          <cell r="H172">
            <v>1395.58</v>
          </cell>
          <cell r="L172">
            <v>2706.12</v>
          </cell>
          <cell r="M172">
            <v>10600</v>
          </cell>
          <cell r="O172">
            <v>0</v>
          </cell>
          <cell r="S172">
            <v>63088.659999999996</v>
          </cell>
          <cell r="T172">
            <v>6665563.0499999998</v>
          </cell>
        </row>
        <row r="173">
          <cell r="A173">
            <v>162</v>
          </cell>
          <cell r="B173">
            <v>147</v>
          </cell>
          <cell r="C173">
            <v>44986</v>
          </cell>
          <cell r="D173">
            <v>44958</v>
          </cell>
          <cell r="E173">
            <v>16725.54</v>
          </cell>
          <cell r="F173">
            <v>31661.42</v>
          </cell>
          <cell r="G173">
            <v>48386.96</v>
          </cell>
          <cell r="H173">
            <v>1395.58</v>
          </cell>
          <cell r="L173">
            <v>2706.12</v>
          </cell>
          <cell r="M173">
            <v>10600</v>
          </cell>
          <cell r="O173">
            <v>0</v>
          </cell>
          <cell r="S173">
            <v>63088.659999999996</v>
          </cell>
          <cell r="T173">
            <v>6648837.5099999998</v>
          </cell>
        </row>
        <row r="174">
          <cell r="A174">
            <v>163</v>
          </cell>
          <cell r="B174">
            <v>148</v>
          </cell>
          <cell r="C174">
            <v>45017</v>
          </cell>
          <cell r="D174">
            <v>44986</v>
          </cell>
          <cell r="E174">
            <v>16804.98</v>
          </cell>
          <cell r="F174">
            <v>31581.98</v>
          </cell>
          <cell r="G174">
            <v>48386.96</v>
          </cell>
          <cell r="H174">
            <v>1395.58</v>
          </cell>
          <cell r="L174">
            <v>2706.12</v>
          </cell>
          <cell r="M174">
            <v>10600</v>
          </cell>
          <cell r="O174">
            <v>0</v>
          </cell>
          <cell r="S174">
            <v>63088.659999999996</v>
          </cell>
          <cell r="T174">
            <v>6632032.5299999993</v>
          </cell>
        </row>
        <row r="175">
          <cell r="A175">
            <v>164</v>
          </cell>
          <cell r="B175">
            <v>149</v>
          </cell>
          <cell r="C175">
            <v>45047</v>
          </cell>
          <cell r="D175">
            <v>45017</v>
          </cell>
          <cell r="E175">
            <v>16884.809999999998</v>
          </cell>
          <cell r="F175">
            <v>31502.15</v>
          </cell>
          <cell r="G175">
            <v>48386.96</v>
          </cell>
          <cell r="H175">
            <v>1395.58</v>
          </cell>
          <cell r="L175">
            <v>2706.12</v>
          </cell>
          <cell r="M175">
            <v>10600</v>
          </cell>
          <cell r="O175">
            <v>0</v>
          </cell>
          <cell r="S175">
            <v>63088.659999999996</v>
          </cell>
          <cell r="T175">
            <v>6615147.7199999997</v>
          </cell>
        </row>
        <row r="176">
          <cell r="A176">
            <v>165</v>
          </cell>
          <cell r="B176">
            <v>150</v>
          </cell>
          <cell r="C176">
            <v>45078</v>
          </cell>
          <cell r="D176">
            <v>45047</v>
          </cell>
          <cell r="E176">
            <v>16965.009999999998</v>
          </cell>
          <cell r="F176">
            <v>31421.95</v>
          </cell>
          <cell r="G176">
            <v>48386.96</v>
          </cell>
          <cell r="H176">
            <v>1395.58</v>
          </cell>
          <cell r="L176">
            <v>2706.12</v>
          </cell>
          <cell r="M176">
            <v>10600</v>
          </cell>
          <cell r="O176">
            <v>0</v>
          </cell>
          <cell r="S176">
            <v>63088.659999999996</v>
          </cell>
          <cell r="T176">
            <v>6598182.71</v>
          </cell>
        </row>
        <row r="177">
          <cell r="A177">
            <v>166</v>
          </cell>
          <cell r="B177">
            <v>151</v>
          </cell>
          <cell r="C177">
            <v>45108</v>
          </cell>
          <cell r="D177">
            <v>45078</v>
          </cell>
          <cell r="E177">
            <v>17045.59</v>
          </cell>
          <cell r="F177">
            <v>31341.37</v>
          </cell>
          <cell r="G177">
            <v>48386.96</v>
          </cell>
          <cell r="H177">
            <v>1395.58</v>
          </cell>
          <cell r="L177">
            <v>2706.12</v>
          </cell>
          <cell r="M177">
            <v>10600</v>
          </cell>
          <cell r="O177">
            <v>0</v>
          </cell>
          <cell r="S177">
            <v>63088.659999999996</v>
          </cell>
          <cell r="T177">
            <v>6581137.1200000001</v>
          </cell>
        </row>
        <row r="178">
          <cell r="A178">
            <v>167</v>
          </cell>
          <cell r="B178">
            <v>152</v>
          </cell>
          <cell r="C178">
            <v>45139</v>
          </cell>
          <cell r="D178">
            <v>45108</v>
          </cell>
          <cell r="E178">
            <v>17126.559999999998</v>
          </cell>
          <cell r="F178">
            <v>31260.400000000001</v>
          </cell>
          <cell r="G178">
            <v>48386.96</v>
          </cell>
          <cell r="H178">
            <v>1395.58</v>
          </cell>
          <cell r="L178">
            <v>2706.12</v>
          </cell>
          <cell r="M178">
            <v>10600</v>
          </cell>
          <cell r="O178">
            <v>0</v>
          </cell>
          <cell r="S178">
            <v>63088.659999999996</v>
          </cell>
          <cell r="T178">
            <v>6564010.5600000005</v>
          </cell>
        </row>
        <row r="179">
          <cell r="A179">
            <v>168</v>
          </cell>
          <cell r="B179">
            <v>153</v>
          </cell>
          <cell r="C179">
            <v>45170</v>
          </cell>
          <cell r="D179">
            <v>45139</v>
          </cell>
          <cell r="E179">
            <v>17207.91</v>
          </cell>
          <cell r="F179">
            <v>31179.05</v>
          </cell>
          <cell r="G179">
            <v>48386.96</v>
          </cell>
          <cell r="H179">
            <v>1395.58</v>
          </cell>
          <cell r="L179">
            <v>2706.12</v>
          </cell>
          <cell r="M179">
            <v>10600</v>
          </cell>
          <cell r="O179">
            <v>0</v>
          </cell>
          <cell r="S179">
            <v>63088.659999999996</v>
          </cell>
          <cell r="T179">
            <v>6546802.6500000004</v>
          </cell>
        </row>
        <row r="180">
          <cell r="A180">
            <v>169</v>
          </cell>
          <cell r="B180">
            <v>154</v>
          </cell>
          <cell r="C180">
            <v>45200</v>
          </cell>
          <cell r="D180">
            <v>45170</v>
          </cell>
          <cell r="E180">
            <v>17289.649999999998</v>
          </cell>
          <cell r="F180">
            <v>31097.31</v>
          </cell>
          <cell r="G180">
            <v>48386.96</v>
          </cell>
          <cell r="H180">
            <v>1395.58</v>
          </cell>
          <cell r="L180">
            <v>2706.12</v>
          </cell>
          <cell r="M180">
            <v>10600</v>
          </cell>
          <cell r="O180">
            <v>0</v>
          </cell>
          <cell r="S180">
            <v>63088.659999999996</v>
          </cell>
          <cell r="T180">
            <v>6529513</v>
          </cell>
        </row>
        <row r="181">
          <cell r="A181">
            <v>170</v>
          </cell>
          <cell r="B181">
            <v>155</v>
          </cell>
          <cell r="C181">
            <v>45231</v>
          </cell>
          <cell r="D181">
            <v>45200</v>
          </cell>
          <cell r="E181">
            <v>17371.77</v>
          </cell>
          <cell r="F181">
            <v>31015.19</v>
          </cell>
          <cell r="G181">
            <v>48386.96</v>
          </cell>
          <cell r="H181">
            <v>1395.58</v>
          </cell>
          <cell r="L181">
            <v>2706.12</v>
          </cell>
          <cell r="M181">
            <v>10600</v>
          </cell>
          <cell r="O181">
            <v>0</v>
          </cell>
          <cell r="S181">
            <v>63088.659999999996</v>
          </cell>
          <cell r="T181">
            <v>6512141.2300000004</v>
          </cell>
        </row>
        <row r="182">
          <cell r="A182">
            <v>171</v>
          </cell>
          <cell r="B182">
            <v>156</v>
          </cell>
          <cell r="C182">
            <v>45261</v>
          </cell>
          <cell r="D182">
            <v>45231</v>
          </cell>
          <cell r="E182">
            <v>17454.29</v>
          </cell>
          <cell r="F182">
            <v>30932.67</v>
          </cell>
          <cell r="G182">
            <v>48386.96</v>
          </cell>
          <cell r="H182">
            <v>1395.58</v>
          </cell>
          <cell r="L182">
            <v>2706.12</v>
          </cell>
          <cell r="M182">
            <v>10600</v>
          </cell>
          <cell r="O182">
            <v>0</v>
          </cell>
          <cell r="S182">
            <v>63088.659999999996</v>
          </cell>
          <cell r="T182">
            <v>6494686.9400000004</v>
          </cell>
        </row>
        <row r="183">
          <cell r="A183">
            <v>172</v>
          </cell>
          <cell r="B183">
            <v>157</v>
          </cell>
          <cell r="C183">
            <v>45292</v>
          </cell>
          <cell r="D183">
            <v>45261</v>
          </cell>
          <cell r="E183">
            <v>17670.420000000009</v>
          </cell>
          <cell r="F183">
            <v>30849.759999999998</v>
          </cell>
          <cell r="G183">
            <v>48520.180000000008</v>
          </cell>
          <cell r="H183">
            <v>1353.06</v>
          </cell>
          <cell r="L183">
            <v>2615.42</v>
          </cell>
          <cell r="M183">
            <v>10600</v>
          </cell>
          <cell r="O183">
            <v>0</v>
          </cell>
          <cell r="S183">
            <v>63088.660000000011</v>
          </cell>
          <cell r="T183">
            <v>6477016.5200000005</v>
          </cell>
        </row>
        <row r="184">
          <cell r="A184">
            <v>173</v>
          </cell>
          <cell r="B184">
            <v>158</v>
          </cell>
          <cell r="C184">
            <v>45323</v>
          </cell>
          <cell r="D184">
            <v>45292</v>
          </cell>
          <cell r="E184">
            <v>17754.350000000006</v>
          </cell>
          <cell r="F184">
            <v>30765.83</v>
          </cell>
          <cell r="G184">
            <v>48520.180000000008</v>
          </cell>
          <cell r="H184">
            <v>1353.06</v>
          </cell>
          <cell r="L184">
            <v>2615.42</v>
          </cell>
          <cell r="M184">
            <v>10600</v>
          </cell>
          <cell r="O184">
            <v>0</v>
          </cell>
          <cell r="S184">
            <v>63088.660000000011</v>
          </cell>
          <cell r="T184">
            <v>6459262.1700000009</v>
          </cell>
        </row>
        <row r="185">
          <cell r="A185">
            <v>174</v>
          </cell>
          <cell r="B185">
            <v>159</v>
          </cell>
          <cell r="C185">
            <v>45352</v>
          </cell>
          <cell r="D185">
            <v>45323</v>
          </cell>
          <cell r="E185">
            <v>17838.680000000008</v>
          </cell>
          <cell r="F185">
            <v>30681.5</v>
          </cell>
          <cell r="G185">
            <v>48520.180000000008</v>
          </cell>
          <cell r="H185">
            <v>1353.06</v>
          </cell>
          <cell r="L185">
            <v>2615.42</v>
          </cell>
          <cell r="M185">
            <v>10600</v>
          </cell>
          <cell r="O185">
            <v>0</v>
          </cell>
          <cell r="S185">
            <v>63088.660000000011</v>
          </cell>
          <cell r="T185">
            <v>6441423.4900000012</v>
          </cell>
        </row>
        <row r="186">
          <cell r="A186">
            <v>175</v>
          </cell>
          <cell r="B186">
            <v>160</v>
          </cell>
          <cell r="C186">
            <v>45383</v>
          </cell>
          <cell r="D186">
            <v>45352</v>
          </cell>
          <cell r="E186">
            <v>17923.420000000009</v>
          </cell>
          <cell r="F186">
            <v>30596.76</v>
          </cell>
          <cell r="G186">
            <v>48520.180000000008</v>
          </cell>
          <cell r="H186">
            <v>1353.06</v>
          </cell>
          <cell r="L186">
            <v>2615.42</v>
          </cell>
          <cell r="M186">
            <v>10600</v>
          </cell>
          <cell r="O186">
            <v>0</v>
          </cell>
          <cell r="S186">
            <v>63088.660000000011</v>
          </cell>
          <cell r="T186">
            <v>6423500.0700000012</v>
          </cell>
        </row>
        <row r="187">
          <cell r="A187">
            <v>176</v>
          </cell>
          <cell r="B187">
            <v>161</v>
          </cell>
          <cell r="C187">
            <v>45413</v>
          </cell>
          <cell r="D187">
            <v>45383</v>
          </cell>
          <cell r="E187">
            <v>18008.550000000007</v>
          </cell>
          <cell r="F187">
            <v>30511.63</v>
          </cell>
          <cell r="G187">
            <v>48520.180000000008</v>
          </cell>
          <cell r="H187">
            <v>1353.06</v>
          </cell>
          <cell r="L187">
            <v>2615.42</v>
          </cell>
          <cell r="M187">
            <v>10600</v>
          </cell>
          <cell r="O187">
            <v>0</v>
          </cell>
          <cell r="S187">
            <v>63088.660000000011</v>
          </cell>
          <cell r="T187">
            <v>6405491.5200000014</v>
          </cell>
        </row>
        <row r="188">
          <cell r="A188">
            <v>177</v>
          </cell>
          <cell r="B188">
            <v>162</v>
          </cell>
          <cell r="C188">
            <v>45444</v>
          </cell>
          <cell r="D188">
            <v>45413</v>
          </cell>
          <cell r="E188">
            <v>18094.100000000006</v>
          </cell>
          <cell r="F188">
            <v>30426.080000000002</v>
          </cell>
          <cell r="G188">
            <v>48520.180000000008</v>
          </cell>
          <cell r="H188">
            <v>1353.06</v>
          </cell>
          <cell r="L188">
            <v>2615.42</v>
          </cell>
          <cell r="M188">
            <v>10600</v>
          </cell>
          <cell r="O188">
            <v>0</v>
          </cell>
          <cell r="S188">
            <v>63088.660000000011</v>
          </cell>
          <cell r="T188">
            <v>6387397.4200000018</v>
          </cell>
        </row>
        <row r="189">
          <cell r="A189">
            <v>178</v>
          </cell>
          <cell r="B189">
            <v>163</v>
          </cell>
          <cell r="C189">
            <v>45474</v>
          </cell>
          <cell r="D189">
            <v>45444</v>
          </cell>
          <cell r="E189">
            <v>18180.040000000008</v>
          </cell>
          <cell r="F189">
            <v>30340.14</v>
          </cell>
          <cell r="G189">
            <v>48520.180000000008</v>
          </cell>
          <cell r="H189">
            <v>1353.06</v>
          </cell>
          <cell r="L189">
            <v>2615.42</v>
          </cell>
          <cell r="M189">
            <v>10600</v>
          </cell>
          <cell r="O189">
            <v>0</v>
          </cell>
          <cell r="S189">
            <v>63088.660000000011</v>
          </cell>
          <cell r="T189">
            <v>6369217.3800000018</v>
          </cell>
        </row>
        <row r="190">
          <cell r="A190">
            <v>179</v>
          </cell>
          <cell r="B190">
            <v>164</v>
          </cell>
          <cell r="C190">
            <v>45505</v>
          </cell>
          <cell r="D190">
            <v>45474</v>
          </cell>
          <cell r="E190">
            <v>18266.400000000009</v>
          </cell>
          <cell r="F190">
            <v>30253.78</v>
          </cell>
          <cell r="G190">
            <v>48520.180000000008</v>
          </cell>
          <cell r="H190">
            <v>1353.06</v>
          </cell>
          <cell r="L190">
            <v>2615.42</v>
          </cell>
          <cell r="M190">
            <v>10600</v>
          </cell>
          <cell r="O190">
            <v>0</v>
          </cell>
          <cell r="S190">
            <v>63088.660000000011</v>
          </cell>
          <cell r="T190">
            <v>6350950.9800000014</v>
          </cell>
        </row>
        <row r="191">
          <cell r="A191">
            <v>180</v>
          </cell>
          <cell r="B191">
            <v>165</v>
          </cell>
          <cell r="C191">
            <v>45536</v>
          </cell>
          <cell r="D191">
            <v>45505</v>
          </cell>
          <cell r="E191">
            <v>18353.160000000007</v>
          </cell>
          <cell r="F191">
            <v>30167.02</v>
          </cell>
          <cell r="G191">
            <v>48520.180000000008</v>
          </cell>
          <cell r="H191">
            <v>1353.06</v>
          </cell>
          <cell r="L191">
            <v>2615.42</v>
          </cell>
          <cell r="M191">
            <v>10600</v>
          </cell>
          <cell r="O191">
            <v>0</v>
          </cell>
          <cell r="S191">
            <v>63088.660000000011</v>
          </cell>
          <cell r="T191">
            <v>6332597.8200000012</v>
          </cell>
        </row>
        <row r="192">
          <cell r="A192">
            <v>181</v>
          </cell>
          <cell r="B192">
            <v>166</v>
          </cell>
          <cell r="C192">
            <v>45566</v>
          </cell>
          <cell r="D192">
            <v>45536</v>
          </cell>
          <cell r="E192">
            <v>18440.340000000007</v>
          </cell>
          <cell r="F192">
            <v>30079.84</v>
          </cell>
          <cell r="G192">
            <v>48520.180000000008</v>
          </cell>
          <cell r="H192">
            <v>1353.06</v>
          </cell>
          <cell r="L192">
            <v>2615.42</v>
          </cell>
          <cell r="M192">
            <v>10600</v>
          </cell>
          <cell r="O192">
            <v>0</v>
          </cell>
          <cell r="S192">
            <v>63088.660000000011</v>
          </cell>
          <cell r="T192">
            <v>6314157.4800000014</v>
          </cell>
        </row>
        <row r="193">
          <cell r="A193">
            <v>182</v>
          </cell>
          <cell r="B193">
            <v>167</v>
          </cell>
          <cell r="C193">
            <v>45597</v>
          </cell>
          <cell r="D193">
            <v>45566</v>
          </cell>
          <cell r="E193">
            <v>18527.930000000008</v>
          </cell>
          <cell r="F193">
            <v>29992.25</v>
          </cell>
          <cell r="G193">
            <v>48520.180000000008</v>
          </cell>
          <cell r="H193">
            <v>1353.06</v>
          </cell>
          <cell r="L193">
            <v>2615.42</v>
          </cell>
          <cell r="M193">
            <v>10600</v>
          </cell>
          <cell r="O193">
            <v>0</v>
          </cell>
          <cell r="S193">
            <v>63088.660000000011</v>
          </cell>
          <cell r="T193">
            <v>6295629.5500000017</v>
          </cell>
        </row>
        <row r="194">
          <cell r="A194">
            <v>183</v>
          </cell>
          <cell r="B194">
            <v>168</v>
          </cell>
          <cell r="C194">
            <v>45627</v>
          </cell>
          <cell r="D194">
            <v>45597</v>
          </cell>
          <cell r="E194">
            <v>18615.940000000006</v>
          </cell>
          <cell r="F194">
            <v>29904.240000000002</v>
          </cell>
          <cell r="G194">
            <v>48520.180000000008</v>
          </cell>
          <cell r="H194">
            <v>1353.06</v>
          </cell>
          <cell r="L194">
            <v>2615.42</v>
          </cell>
          <cell r="M194">
            <v>10600</v>
          </cell>
          <cell r="O194">
            <v>0</v>
          </cell>
          <cell r="S194">
            <v>63088.660000000011</v>
          </cell>
          <cell r="T194">
            <v>6277013.6100000013</v>
          </cell>
        </row>
        <row r="195">
          <cell r="A195">
            <v>184</v>
          </cell>
          <cell r="B195">
            <v>169</v>
          </cell>
          <cell r="C195">
            <v>45658</v>
          </cell>
          <cell r="D195">
            <v>45627</v>
          </cell>
          <cell r="E195">
            <v>18846.45</v>
          </cell>
          <cell r="F195">
            <v>29815.81</v>
          </cell>
          <cell r="G195">
            <v>48662.26</v>
          </cell>
          <cell r="H195">
            <v>1307.71</v>
          </cell>
          <cell r="L195">
            <v>2518.69</v>
          </cell>
          <cell r="M195">
            <v>10600</v>
          </cell>
          <cell r="O195">
            <v>0</v>
          </cell>
          <cell r="S195">
            <v>63088.66</v>
          </cell>
          <cell r="T195">
            <v>6258167.1600000011</v>
          </cell>
        </row>
        <row r="196">
          <cell r="A196">
            <v>185</v>
          </cell>
          <cell r="B196">
            <v>170</v>
          </cell>
          <cell r="C196">
            <v>45689</v>
          </cell>
          <cell r="D196">
            <v>45658</v>
          </cell>
          <cell r="E196">
            <v>18935.97</v>
          </cell>
          <cell r="F196">
            <v>29726.29</v>
          </cell>
          <cell r="G196">
            <v>48662.26</v>
          </cell>
          <cell r="H196">
            <v>1307.71</v>
          </cell>
          <cell r="L196">
            <v>2518.69</v>
          </cell>
          <cell r="M196">
            <v>10600</v>
          </cell>
          <cell r="O196">
            <v>0</v>
          </cell>
          <cell r="S196">
            <v>63088.66</v>
          </cell>
          <cell r="T196">
            <v>6239231.1900000013</v>
          </cell>
        </row>
        <row r="197">
          <cell r="A197">
            <v>186</v>
          </cell>
          <cell r="B197">
            <v>171</v>
          </cell>
          <cell r="C197">
            <v>45717</v>
          </cell>
          <cell r="D197">
            <v>45689</v>
          </cell>
          <cell r="E197">
            <v>19025.910000000003</v>
          </cell>
          <cell r="F197">
            <v>29636.35</v>
          </cell>
          <cell r="G197">
            <v>48662.26</v>
          </cell>
          <cell r="H197">
            <v>1307.71</v>
          </cell>
          <cell r="L197">
            <v>2518.69</v>
          </cell>
          <cell r="M197">
            <v>10600</v>
          </cell>
          <cell r="O197">
            <v>0</v>
          </cell>
          <cell r="S197">
            <v>63088.66</v>
          </cell>
          <cell r="T197">
            <v>6220205.2800000012</v>
          </cell>
        </row>
        <row r="198">
          <cell r="A198">
            <v>187</v>
          </cell>
          <cell r="B198">
            <v>172</v>
          </cell>
          <cell r="C198">
            <v>45748</v>
          </cell>
          <cell r="D198">
            <v>45717</v>
          </cell>
          <cell r="E198">
            <v>19116.280000000002</v>
          </cell>
          <cell r="F198">
            <v>29545.98</v>
          </cell>
          <cell r="G198">
            <v>48662.26</v>
          </cell>
          <cell r="H198">
            <v>1307.71</v>
          </cell>
          <cell r="L198">
            <v>2518.69</v>
          </cell>
          <cell r="M198">
            <v>10600</v>
          </cell>
          <cell r="O198">
            <v>0</v>
          </cell>
          <cell r="S198">
            <v>63088.66</v>
          </cell>
          <cell r="T198">
            <v>6201089.0000000009</v>
          </cell>
        </row>
        <row r="199">
          <cell r="A199">
            <v>188</v>
          </cell>
          <cell r="B199">
            <v>173</v>
          </cell>
          <cell r="C199">
            <v>45778</v>
          </cell>
          <cell r="D199">
            <v>45748</v>
          </cell>
          <cell r="E199">
            <v>19207.090000000004</v>
          </cell>
          <cell r="F199">
            <v>29455.17</v>
          </cell>
          <cell r="G199">
            <v>48662.26</v>
          </cell>
          <cell r="H199">
            <v>1307.71</v>
          </cell>
          <cell r="L199">
            <v>2518.69</v>
          </cell>
          <cell r="M199">
            <v>10600</v>
          </cell>
          <cell r="O199">
            <v>0</v>
          </cell>
          <cell r="S199">
            <v>63088.66</v>
          </cell>
          <cell r="T199">
            <v>6181881.9100000011</v>
          </cell>
        </row>
        <row r="200">
          <cell r="A200">
            <v>189</v>
          </cell>
          <cell r="B200">
            <v>174</v>
          </cell>
          <cell r="C200">
            <v>45809</v>
          </cell>
          <cell r="D200">
            <v>45778</v>
          </cell>
          <cell r="E200">
            <v>19298.320000000003</v>
          </cell>
          <cell r="F200">
            <v>29363.94</v>
          </cell>
          <cell r="G200">
            <v>48662.26</v>
          </cell>
          <cell r="H200">
            <v>1307.71</v>
          </cell>
          <cell r="L200">
            <v>2518.69</v>
          </cell>
          <cell r="M200">
            <v>10600</v>
          </cell>
          <cell r="O200">
            <v>0</v>
          </cell>
          <cell r="S200">
            <v>63088.66</v>
          </cell>
          <cell r="T200">
            <v>6162583.5900000008</v>
          </cell>
        </row>
        <row r="201">
          <cell r="A201">
            <v>190</v>
          </cell>
          <cell r="B201">
            <v>175</v>
          </cell>
          <cell r="C201">
            <v>45839</v>
          </cell>
          <cell r="D201">
            <v>45809</v>
          </cell>
          <cell r="E201">
            <v>19389.990000000002</v>
          </cell>
          <cell r="F201">
            <v>29272.27</v>
          </cell>
          <cell r="G201">
            <v>48662.26</v>
          </cell>
          <cell r="H201">
            <v>1307.71</v>
          </cell>
          <cell r="L201">
            <v>2518.69</v>
          </cell>
          <cell r="M201">
            <v>10600</v>
          </cell>
          <cell r="O201">
            <v>0</v>
          </cell>
          <cell r="S201">
            <v>63088.66</v>
          </cell>
          <cell r="T201">
            <v>6143193.6000000006</v>
          </cell>
        </row>
        <row r="202">
          <cell r="A202">
            <v>191</v>
          </cell>
          <cell r="B202">
            <v>176</v>
          </cell>
          <cell r="C202">
            <v>45870</v>
          </cell>
          <cell r="D202">
            <v>45839</v>
          </cell>
          <cell r="E202">
            <v>19482.090000000004</v>
          </cell>
          <cell r="F202">
            <v>29180.17</v>
          </cell>
          <cell r="G202">
            <v>48662.26</v>
          </cell>
          <cell r="H202">
            <v>1307.71</v>
          </cell>
          <cell r="L202">
            <v>2518.69</v>
          </cell>
          <cell r="M202">
            <v>10600</v>
          </cell>
          <cell r="O202">
            <v>0</v>
          </cell>
          <cell r="S202">
            <v>63088.66</v>
          </cell>
          <cell r="T202">
            <v>6123711.5100000007</v>
          </cell>
        </row>
        <row r="203">
          <cell r="A203">
            <v>192</v>
          </cell>
          <cell r="B203">
            <v>177</v>
          </cell>
          <cell r="C203">
            <v>45901</v>
          </cell>
          <cell r="D203">
            <v>45870</v>
          </cell>
          <cell r="E203">
            <v>19574.63</v>
          </cell>
          <cell r="F203">
            <v>29087.63</v>
          </cell>
          <cell r="G203">
            <v>48662.26</v>
          </cell>
          <cell r="H203">
            <v>1307.71</v>
          </cell>
          <cell r="L203">
            <v>2518.69</v>
          </cell>
          <cell r="M203">
            <v>10600</v>
          </cell>
          <cell r="O203">
            <v>0</v>
          </cell>
          <cell r="S203">
            <v>63088.66</v>
          </cell>
          <cell r="T203">
            <v>6104136.8800000008</v>
          </cell>
        </row>
        <row r="204">
          <cell r="A204">
            <v>193</v>
          </cell>
          <cell r="B204">
            <v>178</v>
          </cell>
          <cell r="C204">
            <v>45931</v>
          </cell>
          <cell r="D204">
            <v>45901</v>
          </cell>
          <cell r="E204">
            <v>19667.61</v>
          </cell>
          <cell r="F204">
            <v>28994.65</v>
          </cell>
          <cell r="G204">
            <v>48662.26</v>
          </cell>
          <cell r="H204">
            <v>1307.71</v>
          </cell>
          <cell r="L204">
            <v>2518.69</v>
          </cell>
          <cell r="M204">
            <v>10600</v>
          </cell>
          <cell r="O204">
            <v>0</v>
          </cell>
          <cell r="S204">
            <v>63088.66</v>
          </cell>
          <cell r="T204">
            <v>6084469.2700000005</v>
          </cell>
        </row>
        <row r="205">
          <cell r="A205">
            <v>194</v>
          </cell>
          <cell r="B205">
            <v>179</v>
          </cell>
          <cell r="C205">
            <v>45962</v>
          </cell>
          <cell r="D205">
            <v>45931</v>
          </cell>
          <cell r="E205">
            <v>19761.030000000002</v>
          </cell>
          <cell r="F205">
            <v>28901.23</v>
          </cell>
          <cell r="G205">
            <v>48662.26</v>
          </cell>
          <cell r="H205">
            <v>1307.71</v>
          </cell>
          <cell r="L205">
            <v>2518.69</v>
          </cell>
          <cell r="M205">
            <v>10600</v>
          </cell>
          <cell r="O205">
            <v>0</v>
          </cell>
          <cell r="S205">
            <v>63088.66</v>
          </cell>
          <cell r="T205">
            <v>6064708.2400000002</v>
          </cell>
        </row>
        <row r="206">
          <cell r="A206">
            <v>195</v>
          </cell>
          <cell r="B206">
            <v>180</v>
          </cell>
          <cell r="C206">
            <v>45992</v>
          </cell>
          <cell r="D206">
            <v>45962</v>
          </cell>
          <cell r="E206">
            <v>19854.900000000001</v>
          </cell>
          <cell r="F206">
            <v>28807.360000000001</v>
          </cell>
          <cell r="G206">
            <v>48662.26</v>
          </cell>
          <cell r="H206">
            <v>1307.71</v>
          </cell>
          <cell r="L206">
            <v>2518.69</v>
          </cell>
          <cell r="M206">
            <v>10600</v>
          </cell>
          <cell r="O206">
            <v>0</v>
          </cell>
          <cell r="S206">
            <v>63088.66</v>
          </cell>
          <cell r="T206">
            <v>6044853.3399999999</v>
          </cell>
        </row>
        <row r="207">
          <cell r="A207">
            <v>196</v>
          </cell>
          <cell r="B207">
            <v>181</v>
          </cell>
          <cell r="C207">
            <v>46023</v>
          </cell>
          <cell r="D207">
            <v>45992</v>
          </cell>
          <cell r="E207">
            <v>20100.750000000011</v>
          </cell>
          <cell r="F207">
            <v>28713.05</v>
          </cell>
          <cell r="G207">
            <v>48813.80000000001</v>
          </cell>
          <cell r="H207">
            <v>1259.3399999999999</v>
          </cell>
          <cell r="L207">
            <v>2415.52</v>
          </cell>
          <cell r="M207">
            <v>10600</v>
          </cell>
          <cell r="O207">
            <v>0</v>
          </cell>
          <cell r="S207">
            <v>63088.660000000011</v>
          </cell>
          <cell r="T207">
            <v>6024752.5899999999</v>
          </cell>
        </row>
        <row r="208">
          <cell r="A208">
            <v>197</v>
          </cell>
          <cell r="B208">
            <v>182</v>
          </cell>
          <cell r="C208">
            <v>46054</v>
          </cell>
          <cell r="D208">
            <v>46023</v>
          </cell>
          <cell r="E208">
            <v>20196.23000000001</v>
          </cell>
          <cell r="F208">
            <v>28617.57</v>
          </cell>
          <cell r="G208">
            <v>48813.80000000001</v>
          </cell>
          <cell r="H208">
            <v>1259.3399999999999</v>
          </cell>
          <cell r="L208">
            <v>2415.52</v>
          </cell>
          <cell r="M208">
            <v>10600</v>
          </cell>
          <cell r="O208">
            <v>0</v>
          </cell>
          <cell r="S208">
            <v>63088.660000000011</v>
          </cell>
          <cell r="T208">
            <v>6004556.3599999994</v>
          </cell>
        </row>
        <row r="209">
          <cell r="A209">
            <v>198</v>
          </cell>
          <cell r="B209">
            <v>183</v>
          </cell>
          <cell r="C209">
            <v>46082</v>
          </cell>
          <cell r="D209">
            <v>46054</v>
          </cell>
          <cell r="E209">
            <v>20292.160000000011</v>
          </cell>
          <cell r="F209">
            <v>28521.64</v>
          </cell>
          <cell r="G209">
            <v>48813.80000000001</v>
          </cell>
          <cell r="H209">
            <v>1259.3399999999999</v>
          </cell>
          <cell r="L209">
            <v>2415.52</v>
          </cell>
          <cell r="M209">
            <v>10600</v>
          </cell>
          <cell r="O209">
            <v>0</v>
          </cell>
          <cell r="S209">
            <v>63088.660000000011</v>
          </cell>
          <cell r="T209">
            <v>5984264.1999999993</v>
          </cell>
        </row>
        <row r="210">
          <cell r="A210">
            <v>199</v>
          </cell>
          <cell r="B210">
            <v>184</v>
          </cell>
          <cell r="C210">
            <v>46113</v>
          </cell>
          <cell r="D210">
            <v>46082</v>
          </cell>
          <cell r="E210">
            <v>20388.55000000001</v>
          </cell>
          <cell r="F210">
            <v>28425.25</v>
          </cell>
          <cell r="G210">
            <v>48813.80000000001</v>
          </cell>
          <cell r="H210">
            <v>1259.3399999999999</v>
          </cell>
          <cell r="L210">
            <v>2415.52</v>
          </cell>
          <cell r="M210">
            <v>10600</v>
          </cell>
          <cell r="O210">
            <v>0</v>
          </cell>
          <cell r="S210">
            <v>63088.660000000011</v>
          </cell>
          <cell r="T210">
            <v>5963875.6499999994</v>
          </cell>
        </row>
        <row r="211">
          <cell r="A211">
            <v>200</v>
          </cell>
          <cell r="B211">
            <v>185</v>
          </cell>
          <cell r="C211">
            <v>46143</v>
          </cell>
          <cell r="D211">
            <v>46113</v>
          </cell>
          <cell r="E211">
            <v>20485.39000000001</v>
          </cell>
          <cell r="F211">
            <v>28328.41</v>
          </cell>
          <cell r="G211">
            <v>48813.80000000001</v>
          </cell>
          <cell r="H211">
            <v>1259.3399999999999</v>
          </cell>
          <cell r="L211">
            <v>2415.52</v>
          </cell>
          <cell r="M211">
            <v>10600</v>
          </cell>
          <cell r="O211">
            <v>0</v>
          </cell>
          <cell r="S211">
            <v>63088.660000000011</v>
          </cell>
          <cell r="T211">
            <v>5943390.2599999998</v>
          </cell>
        </row>
        <row r="212">
          <cell r="A212">
            <v>201</v>
          </cell>
          <cell r="B212">
            <v>186</v>
          </cell>
          <cell r="C212">
            <v>46174</v>
          </cell>
          <cell r="D212">
            <v>46143</v>
          </cell>
          <cell r="E212">
            <v>20582.700000000012</v>
          </cell>
          <cell r="F212">
            <v>28231.1</v>
          </cell>
          <cell r="G212">
            <v>48813.80000000001</v>
          </cell>
          <cell r="H212">
            <v>1259.3399999999999</v>
          </cell>
          <cell r="L212">
            <v>2415.52</v>
          </cell>
          <cell r="M212">
            <v>10600</v>
          </cell>
          <cell r="O212">
            <v>0</v>
          </cell>
          <cell r="S212">
            <v>63088.660000000011</v>
          </cell>
          <cell r="T212">
            <v>5922807.5599999996</v>
          </cell>
        </row>
        <row r="213">
          <cell r="A213">
            <v>202</v>
          </cell>
          <cell r="B213">
            <v>187</v>
          </cell>
          <cell r="C213">
            <v>46204</v>
          </cell>
          <cell r="D213">
            <v>46174</v>
          </cell>
          <cell r="E213">
            <v>20680.46000000001</v>
          </cell>
          <cell r="F213">
            <v>28133.34</v>
          </cell>
          <cell r="G213">
            <v>48813.80000000001</v>
          </cell>
          <cell r="H213">
            <v>1259.3399999999999</v>
          </cell>
          <cell r="L213">
            <v>2415.52</v>
          </cell>
          <cell r="M213">
            <v>10600</v>
          </cell>
          <cell r="O213">
            <v>0</v>
          </cell>
          <cell r="S213">
            <v>63088.660000000011</v>
          </cell>
          <cell r="T213">
            <v>5902127.0999999996</v>
          </cell>
        </row>
        <row r="214">
          <cell r="A214">
            <v>203</v>
          </cell>
          <cell r="B214">
            <v>188</v>
          </cell>
          <cell r="C214">
            <v>46235</v>
          </cell>
          <cell r="D214">
            <v>46204</v>
          </cell>
          <cell r="E214">
            <v>20778.700000000012</v>
          </cell>
          <cell r="F214">
            <v>28035.1</v>
          </cell>
          <cell r="G214">
            <v>48813.80000000001</v>
          </cell>
          <cell r="H214">
            <v>1259.3399999999999</v>
          </cell>
          <cell r="L214">
            <v>2415.52</v>
          </cell>
          <cell r="M214">
            <v>10600</v>
          </cell>
          <cell r="O214">
            <v>0</v>
          </cell>
          <cell r="S214">
            <v>63088.660000000011</v>
          </cell>
          <cell r="T214">
            <v>5881348.3999999994</v>
          </cell>
        </row>
        <row r="215">
          <cell r="A215">
            <v>204</v>
          </cell>
          <cell r="B215">
            <v>189</v>
          </cell>
          <cell r="C215">
            <v>46266</v>
          </cell>
          <cell r="D215">
            <v>46235</v>
          </cell>
          <cell r="E215">
            <v>20877.400000000009</v>
          </cell>
          <cell r="F215">
            <v>27936.400000000001</v>
          </cell>
          <cell r="G215">
            <v>48813.80000000001</v>
          </cell>
          <cell r="H215">
            <v>1259.3399999999999</v>
          </cell>
          <cell r="L215">
            <v>2415.52</v>
          </cell>
          <cell r="M215">
            <v>10600</v>
          </cell>
          <cell r="O215">
            <v>0</v>
          </cell>
          <cell r="S215">
            <v>63088.660000000011</v>
          </cell>
          <cell r="T215">
            <v>5860470.9999999991</v>
          </cell>
        </row>
        <row r="216">
          <cell r="A216">
            <v>205</v>
          </cell>
          <cell r="B216">
            <v>190</v>
          </cell>
          <cell r="C216">
            <v>46296</v>
          </cell>
          <cell r="D216">
            <v>46266</v>
          </cell>
          <cell r="E216">
            <v>20976.560000000009</v>
          </cell>
          <cell r="F216">
            <v>27837.24</v>
          </cell>
          <cell r="G216">
            <v>48813.80000000001</v>
          </cell>
          <cell r="H216">
            <v>1259.3399999999999</v>
          </cell>
          <cell r="L216">
            <v>2415.52</v>
          </cell>
          <cell r="M216">
            <v>10600</v>
          </cell>
          <cell r="O216">
            <v>0</v>
          </cell>
          <cell r="S216">
            <v>63088.660000000011</v>
          </cell>
          <cell r="T216">
            <v>5839494.4399999995</v>
          </cell>
        </row>
        <row r="217">
          <cell r="A217">
            <v>206</v>
          </cell>
          <cell r="B217">
            <v>191</v>
          </cell>
          <cell r="C217">
            <v>46327</v>
          </cell>
          <cell r="D217">
            <v>46296</v>
          </cell>
          <cell r="E217">
            <v>21076.200000000012</v>
          </cell>
          <cell r="F217">
            <v>27737.599999999999</v>
          </cell>
          <cell r="G217">
            <v>48813.80000000001</v>
          </cell>
          <cell r="H217">
            <v>1259.3399999999999</v>
          </cell>
          <cell r="L217">
            <v>2415.52</v>
          </cell>
          <cell r="M217">
            <v>10600</v>
          </cell>
          <cell r="O217">
            <v>0</v>
          </cell>
          <cell r="S217">
            <v>63088.660000000011</v>
          </cell>
          <cell r="T217">
            <v>5818418.2399999993</v>
          </cell>
        </row>
        <row r="218">
          <cell r="A218">
            <v>207</v>
          </cell>
          <cell r="B218">
            <v>192</v>
          </cell>
          <cell r="C218">
            <v>46357</v>
          </cell>
          <cell r="D218">
            <v>46327</v>
          </cell>
          <cell r="E218">
            <v>21176.310000000009</v>
          </cell>
          <cell r="F218">
            <v>27637.49</v>
          </cell>
          <cell r="G218">
            <v>48813.80000000001</v>
          </cell>
          <cell r="H218">
            <v>1259.3399999999999</v>
          </cell>
          <cell r="L218">
            <v>2415.52</v>
          </cell>
          <cell r="M218">
            <v>10600</v>
          </cell>
          <cell r="O218">
            <v>0</v>
          </cell>
          <cell r="S218">
            <v>63088.660000000011</v>
          </cell>
          <cell r="T218">
            <v>5797241.9299999997</v>
          </cell>
        </row>
        <row r="219">
          <cell r="A219">
            <v>208</v>
          </cell>
          <cell r="B219">
            <v>193</v>
          </cell>
          <cell r="C219">
            <v>46388</v>
          </cell>
          <cell r="D219">
            <v>46357</v>
          </cell>
          <cell r="E219">
            <v>21438.519999999997</v>
          </cell>
          <cell r="F219">
            <v>27536.9</v>
          </cell>
          <cell r="G219">
            <v>48975.42</v>
          </cell>
          <cell r="H219">
            <v>1207.76</v>
          </cell>
          <cell r="L219">
            <v>2305.48</v>
          </cell>
          <cell r="M219">
            <v>10600</v>
          </cell>
          <cell r="O219">
            <v>0</v>
          </cell>
          <cell r="S219">
            <v>63088.659999999996</v>
          </cell>
          <cell r="T219">
            <v>5775803.4100000001</v>
          </cell>
        </row>
        <row r="220">
          <cell r="A220">
            <v>209</v>
          </cell>
          <cell r="B220">
            <v>194</v>
          </cell>
          <cell r="C220">
            <v>46419</v>
          </cell>
          <cell r="D220">
            <v>46388</v>
          </cell>
          <cell r="E220">
            <v>21540.35</v>
          </cell>
          <cell r="F220">
            <v>27435.07</v>
          </cell>
          <cell r="G220">
            <v>48975.42</v>
          </cell>
          <cell r="H220">
            <v>1207.76</v>
          </cell>
          <cell r="L220">
            <v>2305.48</v>
          </cell>
          <cell r="M220">
            <v>10600</v>
          </cell>
          <cell r="O220">
            <v>0</v>
          </cell>
          <cell r="S220">
            <v>63088.659999999996</v>
          </cell>
          <cell r="T220">
            <v>5754263.0600000005</v>
          </cell>
        </row>
        <row r="221">
          <cell r="A221">
            <v>210</v>
          </cell>
          <cell r="B221">
            <v>195</v>
          </cell>
          <cell r="C221">
            <v>46447</v>
          </cell>
          <cell r="D221">
            <v>46419</v>
          </cell>
          <cell r="E221">
            <v>21642.67</v>
          </cell>
          <cell r="F221">
            <v>27332.75</v>
          </cell>
          <cell r="G221">
            <v>48975.42</v>
          </cell>
          <cell r="H221">
            <v>1207.76</v>
          </cell>
          <cell r="L221">
            <v>2305.48</v>
          </cell>
          <cell r="M221">
            <v>10600</v>
          </cell>
          <cell r="O221">
            <v>0</v>
          </cell>
          <cell r="S221">
            <v>63088.659999999996</v>
          </cell>
          <cell r="T221">
            <v>5732620.3900000006</v>
          </cell>
        </row>
        <row r="222">
          <cell r="A222">
            <v>211</v>
          </cell>
          <cell r="B222">
            <v>196</v>
          </cell>
          <cell r="C222">
            <v>46478</v>
          </cell>
          <cell r="D222">
            <v>46447</v>
          </cell>
          <cell r="E222">
            <v>21745.469999999998</v>
          </cell>
          <cell r="F222">
            <v>27229.95</v>
          </cell>
          <cell r="G222">
            <v>48975.42</v>
          </cell>
          <cell r="H222">
            <v>1207.76</v>
          </cell>
          <cell r="L222">
            <v>2305.48</v>
          </cell>
          <cell r="M222">
            <v>10600</v>
          </cell>
          <cell r="O222">
            <v>0</v>
          </cell>
          <cell r="S222">
            <v>63088.659999999996</v>
          </cell>
          <cell r="T222">
            <v>5710874.9200000009</v>
          </cell>
        </row>
        <row r="223">
          <cell r="A223">
            <v>212</v>
          </cell>
          <cell r="B223">
            <v>197</v>
          </cell>
          <cell r="C223">
            <v>46508</v>
          </cell>
          <cell r="D223">
            <v>46478</v>
          </cell>
          <cell r="E223">
            <v>21848.76</v>
          </cell>
          <cell r="F223">
            <v>27126.66</v>
          </cell>
          <cell r="G223">
            <v>48975.42</v>
          </cell>
          <cell r="H223">
            <v>1207.76</v>
          </cell>
          <cell r="L223">
            <v>2305.48</v>
          </cell>
          <cell r="M223">
            <v>10600</v>
          </cell>
          <cell r="O223">
            <v>0</v>
          </cell>
          <cell r="S223">
            <v>63088.659999999996</v>
          </cell>
          <cell r="T223">
            <v>5689026.1600000011</v>
          </cell>
        </row>
        <row r="224">
          <cell r="A224">
            <v>213</v>
          </cell>
          <cell r="B224">
            <v>198</v>
          </cell>
          <cell r="C224">
            <v>46539</v>
          </cell>
          <cell r="D224">
            <v>46508</v>
          </cell>
          <cell r="E224">
            <v>21952.55</v>
          </cell>
          <cell r="F224">
            <v>27022.87</v>
          </cell>
          <cell r="G224">
            <v>48975.42</v>
          </cell>
          <cell r="H224">
            <v>1207.76</v>
          </cell>
          <cell r="L224">
            <v>2305.48</v>
          </cell>
          <cell r="M224">
            <v>10600</v>
          </cell>
          <cell r="O224">
            <v>0</v>
          </cell>
          <cell r="S224">
            <v>63088.659999999996</v>
          </cell>
          <cell r="T224">
            <v>5667073.6100000013</v>
          </cell>
        </row>
        <row r="225">
          <cell r="A225">
            <v>214</v>
          </cell>
          <cell r="B225">
            <v>199</v>
          </cell>
          <cell r="C225">
            <v>46569</v>
          </cell>
          <cell r="D225">
            <v>46539</v>
          </cell>
          <cell r="E225">
            <v>22056.82</v>
          </cell>
          <cell r="F225">
            <v>26918.6</v>
          </cell>
          <cell r="G225">
            <v>48975.42</v>
          </cell>
          <cell r="H225">
            <v>1207.76</v>
          </cell>
          <cell r="L225">
            <v>2305.48</v>
          </cell>
          <cell r="M225">
            <v>10600</v>
          </cell>
          <cell r="O225">
            <v>0</v>
          </cell>
          <cell r="S225">
            <v>63088.659999999996</v>
          </cell>
          <cell r="T225">
            <v>5645016.790000001</v>
          </cell>
        </row>
        <row r="226">
          <cell r="A226">
            <v>215</v>
          </cell>
          <cell r="B226">
            <v>200</v>
          </cell>
          <cell r="C226">
            <v>46600</v>
          </cell>
          <cell r="D226">
            <v>46569</v>
          </cell>
          <cell r="E226">
            <v>22161.589999999997</v>
          </cell>
          <cell r="F226">
            <v>26813.83</v>
          </cell>
          <cell r="G226">
            <v>48975.42</v>
          </cell>
          <cell r="H226">
            <v>1207.76</v>
          </cell>
          <cell r="L226">
            <v>2305.48</v>
          </cell>
          <cell r="M226">
            <v>10600</v>
          </cell>
          <cell r="O226">
            <v>0</v>
          </cell>
          <cell r="S226">
            <v>63088.659999999996</v>
          </cell>
          <cell r="T226">
            <v>5622855.2000000011</v>
          </cell>
        </row>
        <row r="227">
          <cell r="A227">
            <v>216</v>
          </cell>
          <cell r="B227">
            <v>201</v>
          </cell>
          <cell r="C227">
            <v>46631</v>
          </cell>
          <cell r="D227">
            <v>46600</v>
          </cell>
          <cell r="E227">
            <v>22266.859999999997</v>
          </cell>
          <cell r="F227">
            <v>26708.560000000001</v>
          </cell>
          <cell r="G227">
            <v>48975.42</v>
          </cell>
          <cell r="H227">
            <v>1207.76</v>
          </cell>
          <cell r="L227">
            <v>2305.48</v>
          </cell>
          <cell r="M227">
            <v>10600</v>
          </cell>
          <cell r="O227">
            <v>0</v>
          </cell>
          <cell r="S227">
            <v>63088.659999999996</v>
          </cell>
          <cell r="T227">
            <v>5600588.3400000008</v>
          </cell>
        </row>
        <row r="228">
          <cell r="A228">
            <v>217</v>
          </cell>
          <cell r="B228">
            <v>202</v>
          </cell>
          <cell r="C228">
            <v>46661</v>
          </cell>
          <cell r="D228">
            <v>46631</v>
          </cell>
          <cell r="E228">
            <v>22372.629999999997</v>
          </cell>
          <cell r="F228">
            <v>26602.79</v>
          </cell>
          <cell r="G228">
            <v>48975.42</v>
          </cell>
          <cell r="H228">
            <v>1207.76</v>
          </cell>
          <cell r="L228">
            <v>2305.48</v>
          </cell>
          <cell r="M228">
            <v>10600</v>
          </cell>
          <cell r="O228">
            <v>0</v>
          </cell>
          <cell r="S228">
            <v>63088.659999999996</v>
          </cell>
          <cell r="T228">
            <v>5578215.7100000009</v>
          </cell>
        </row>
        <row r="229">
          <cell r="A229">
            <v>218</v>
          </cell>
          <cell r="B229">
            <v>203</v>
          </cell>
          <cell r="C229">
            <v>46692</v>
          </cell>
          <cell r="D229">
            <v>46661</v>
          </cell>
          <cell r="E229">
            <v>22478.899999999998</v>
          </cell>
          <cell r="F229">
            <v>26496.52</v>
          </cell>
          <cell r="G229">
            <v>48975.42</v>
          </cell>
          <cell r="H229">
            <v>1207.76</v>
          </cell>
          <cell r="L229">
            <v>2305.48</v>
          </cell>
          <cell r="M229">
            <v>10600</v>
          </cell>
          <cell r="O229">
            <v>0</v>
          </cell>
          <cell r="S229">
            <v>63088.659999999996</v>
          </cell>
          <cell r="T229">
            <v>5555736.8100000005</v>
          </cell>
        </row>
        <row r="230">
          <cell r="A230">
            <v>219</v>
          </cell>
          <cell r="B230">
            <v>204</v>
          </cell>
          <cell r="C230">
            <v>46722</v>
          </cell>
          <cell r="D230">
            <v>46692</v>
          </cell>
          <cell r="E230">
            <v>22585.67</v>
          </cell>
          <cell r="F230">
            <v>26389.75</v>
          </cell>
          <cell r="G230">
            <v>48975.42</v>
          </cell>
          <cell r="H230">
            <v>1207.76</v>
          </cell>
          <cell r="L230">
            <v>2305.48</v>
          </cell>
          <cell r="M230">
            <v>10600</v>
          </cell>
          <cell r="O230">
            <v>0</v>
          </cell>
          <cell r="S230">
            <v>63088.659999999996</v>
          </cell>
          <cell r="T230">
            <v>5533151.1400000006</v>
          </cell>
        </row>
        <row r="231">
          <cell r="A231">
            <v>220</v>
          </cell>
          <cell r="B231">
            <v>205</v>
          </cell>
          <cell r="C231">
            <v>46753</v>
          </cell>
          <cell r="D231">
            <v>46722</v>
          </cell>
          <cell r="E231">
            <v>22865.33</v>
          </cell>
          <cell r="F231">
            <v>26282.47</v>
          </cell>
          <cell r="G231">
            <v>49147.8</v>
          </cell>
          <cell r="H231">
            <v>1152.74</v>
          </cell>
          <cell r="L231">
            <v>2188.12</v>
          </cell>
          <cell r="M231">
            <v>10600</v>
          </cell>
          <cell r="O231">
            <v>0</v>
          </cell>
          <cell r="S231">
            <v>63088.66</v>
          </cell>
          <cell r="T231">
            <v>5510285.8100000005</v>
          </cell>
        </row>
        <row r="232">
          <cell r="A232">
            <v>221</v>
          </cell>
          <cell r="B232">
            <v>206</v>
          </cell>
          <cell r="C232">
            <v>46784</v>
          </cell>
          <cell r="D232">
            <v>46753</v>
          </cell>
          <cell r="E232">
            <v>22973.940000000002</v>
          </cell>
          <cell r="F232">
            <v>26173.86</v>
          </cell>
          <cell r="G232">
            <v>49147.8</v>
          </cell>
          <cell r="H232">
            <v>1152.74</v>
          </cell>
          <cell r="L232">
            <v>2188.12</v>
          </cell>
          <cell r="M232">
            <v>10600</v>
          </cell>
          <cell r="O232">
            <v>0</v>
          </cell>
          <cell r="S232">
            <v>63088.66</v>
          </cell>
          <cell r="T232">
            <v>5487311.8700000001</v>
          </cell>
        </row>
        <row r="233">
          <cell r="A233">
            <v>222</v>
          </cell>
          <cell r="B233">
            <v>207</v>
          </cell>
          <cell r="C233">
            <v>46813</v>
          </cell>
          <cell r="D233">
            <v>46784</v>
          </cell>
          <cell r="E233">
            <v>23083.070000000003</v>
          </cell>
          <cell r="F233">
            <v>26064.73</v>
          </cell>
          <cell r="G233">
            <v>49147.8</v>
          </cell>
          <cell r="H233">
            <v>1152.74</v>
          </cell>
          <cell r="L233">
            <v>2188.12</v>
          </cell>
          <cell r="M233">
            <v>10600</v>
          </cell>
          <cell r="O233">
            <v>0</v>
          </cell>
          <cell r="S233">
            <v>63088.66</v>
          </cell>
          <cell r="T233">
            <v>5464228.7999999998</v>
          </cell>
        </row>
        <row r="234">
          <cell r="A234">
            <v>223</v>
          </cell>
          <cell r="B234">
            <v>208</v>
          </cell>
          <cell r="C234">
            <v>46844</v>
          </cell>
          <cell r="D234">
            <v>46813</v>
          </cell>
          <cell r="E234">
            <v>23192.710000000003</v>
          </cell>
          <cell r="F234">
            <v>25955.09</v>
          </cell>
          <cell r="G234">
            <v>49147.8</v>
          </cell>
          <cell r="H234">
            <v>1152.74</v>
          </cell>
          <cell r="L234">
            <v>2188.12</v>
          </cell>
          <cell r="M234">
            <v>10600</v>
          </cell>
          <cell r="O234">
            <v>0</v>
          </cell>
          <cell r="S234">
            <v>63088.66</v>
          </cell>
          <cell r="T234">
            <v>5441036.0899999999</v>
          </cell>
        </row>
        <row r="235">
          <cell r="A235">
            <v>224</v>
          </cell>
          <cell r="B235">
            <v>209</v>
          </cell>
          <cell r="C235">
            <v>46874</v>
          </cell>
          <cell r="D235">
            <v>46844</v>
          </cell>
          <cell r="E235">
            <v>23302.880000000005</v>
          </cell>
          <cell r="F235">
            <v>25844.92</v>
          </cell>
          <cell r="G235">
            <v>49147.8</v>
          </cell>
          <cell r="H235">
            <v>1152.74</v>
          </cell>
          <cell r="L235">
            <v>2188.12</v>
          </cell>
          <cell r="M235">
            <v>10600</v>
          </cell>
          <cell r="O235">
            <v>0</v>
          </cell>
          <cell r="S235">
            <v>63088.66</v>
          </cell>
          <cell r="T235">
            <v>5417733.21</v>
          </cell>
        </row>
        <row r="236">
          <cell r="A236">
            <v>225</v>
          </cell>
          <cell r="B236">
            <v>210</v>
          </cell>
          <cell r="C236">
            <v>46905</v>
          </cell>
          <cell r="D236">
            <v>46874</v>
          </cell>
          <cell r="E236">
            <v>23413.570000000003</v>
          </cell>
          <cell r="F236">
            <v>25734.23</v>
          </cell>
          <cell r="G236">
            <v>49147.8</v>
          </cell>
          <cell r="H236">
            <v>1152.74</v>
          </cell>
          <cell r="L236">
            <v>2188.12</v>
          </cell>
          <cell r="M236">
            <v>10600</v>
          </cell>
          <cell r="O236">
            <v>0</v>
          </cell>
          <cell r="S236">
            <v>63088.66</v>
          </cell>
          <cell r="T236">
            <v>5394319.6399999997</v>
          </cell>
        </row>
        <row r="237">
          <cell r="A237">
            <v>226</v>
          </cell>
          <cell r="B237">
            <v>211</v>
          </cell>
          <cell r="C237">
            <v>46935</v>
          </cell>
          <cell r="D237">
            <v>46905</v>
          </cell>
          <cell r="E237">
            <v>23524.780000000002</v>
          </cell>
          <cell r="F237">
            <v>25623.02</v>
          </cell>
          <cell r="G237">
            <v>49147.8</v>
          </cell>
          <cell r="H237">
            <v>1152.74</v>
          </cell>
          <cell r="L237">
            <v>2188.12</v>
          </cell>
          <cell r="M237">
            <v>10600</v>
          </cell>
          <cell r="O237">
            <v>0</v>
          </cell>
          <cell r="S237">
            <v>63088.66</v>
          </cell>
          <cell r="T237">
            <v>5370794.8599999994</v>
          </cell>
        </row>
        <row r="238">
          <cell r="A238">
            <v>227</v>
          </cell>
          <cell r="B238">
            <v>212</v>
          </cell>
          <cell r="C238">
            <v>46966</v>
          </cell>
          <cell r="D238">
            <v>46935</v>
          </cell>
          <cell r="E238">
            <v>23636.520000000004</v>
          </cell>
          <cell r="F238">
            <v>25511.279999999999</v>
          </cell>
          <cell r="G238">
            <v>49147.8</v>
          </cell>
          <cell r="H238">
            <v>1152.74</v>
          </cell>
          <cell r="L238">
            <v>2188.12</v>
          </cell>
          <cell r="M238">
            <v>10600</v>
          </cell>
          <cell r="O238">
            <v>0</v>
          </cell>
          <cell r="S238">
            <v>63088.66</v>
          </cell>
          <cell r="T238">
            <v>5347158.34</v>
          </cell>
        </row>
        <row r="239">
          <cell r="A239">
            <v>228</v>
          </cell>
          <cell r="B239">
            <v>213</v>
          </cell>
          <cell r="C239">
            <v>46997</v>
          </cell>
          <cell r="D239">
            <v>46966</v>
          </cell>
          <cell r="E239">
            <v>23748.800000000003</v>
          </cell>
          <cell r="F239">
            <v>25399</v>
          </cell>
          <cell r="G239">
            <v>49147.8</v>
          </cell>
          <cell r="H239">
            <v>1152.74</v>
          </cell>
          <cell r="L239">
            <v>2188.12</v>
          </cell>
          <cell r="M239">
            <v>10600</v>
          </cell>
          <cell r="O239">
            <v>0</v>
          </cell>
          <cell r="S239">
            <v>63088.66</v>
          </cell>
          <cell r="T239">
            <v>5323409.54</v>
          </cell>
        </row>
        <row r="240">
          <cell r="A240">
            <v>229</v>
          </cell>
          <cell r="B240">
            <v>214</v>
          </cell>
          <cell r="C240">
            <v>47027</v>
          </cell>
          <cell r="D240">
            <v>46997</v>
          </cell>
          <cell r="E240">
            <v>23861.600000000002</v>
          </cell>
          <cell r="F240">
            <v>25286.2</v>
          </cell>
          <cell r="G240">
            <v>49147.8</v>
          </cell>
          <cell r="H240">
            <v>1152.74</v>
          </cell>
          <cell r="L240">
            <v>2188.12</v>
          </cell>
          <cell r="M240">
            <v>10600</v>
          </cell>
          <cell r="O240">
            <v>0</v>
          </cell>
          <cell r="S240">
            <v>63088.66</v>
          </cell>
          <cell r="T240">
            <v>5299547.9400000004</v>
          </cell>
        </row>
        <row r="241">
          <cell r="A241">
            <v>230</v>
          </cell>
          <cell r="B241">
            <v>215</v>
          </cell>
          <cell r="C241">
            <v>47058</v>
          </cell>
          <cell r="D241">
            <v>47027</v>
          </cell>
          <cell r="E241">
            <v>23974.950000000004</v>
          </cell>
          <cell r="F241">
            <v>25172.85</v>
          </cell>
          <cell r="G241">
            <v>49147.8</v>
          </cell>
          <cell r="H241">
            <v>1152.74</v>
          </cell>
          <cell r="L241">
            <v>2188.12</v>
          </cell>
          <cell r="M241">
            <v>10600</v>
          </cell>
          <cell r="O241">
            <v>0</v>
          </cell>
          <cell r="S241">
            <v>63088.66</v>
          </cell>
          <cell r="T241">
            <v>5275572.99</v>
          </cell>
        </row>
        <row r="242">
          <cell r="A242">
            <v>231</v>
          </cell>
          <cell r="B242">
            <v>216</v>
          </cell>
          <cell r="C242">
            <v>47088</v>
          </cell>
          <cell r="D242">
            <v>47058</v>
          </cell>
          <cell r="E242">
            <v>24088.83</v>
          </cell>
          <cell r="F242">
            <v>25058.97</v>
          </cell>
          <cell r="G242">
            <v>49147.8</v>
          </cell>
          <cell r="H242">
            <v>1152.74</v>
          </cell>
          <cell r="L242">
            <v>2188.12</v>
          </cell>
          <cell r="M242">
            <v>10600</v>
          </cell>
          <cell r="O242">
            <v>0</v>
          </cell>
          <cell r="S242">
            <v>63088.66</v>
          </cell>
          <cell r="T242">
            <v>5251484.16</v>
          </cell>
        </row>
        <row r="243">
          <cell r="A243">
            <v>232</v>
          </cell>
          <cell r="B243">
            <v>217</v>
          </cell>
          <cell r="C243">
            <v>47119</v>
          </cell>
          <cell r="D243">
            <v>47088</v>
          </cell>
          <cell r="E243">
            <v>24387.100000000009</v>
          </cell>
          <cell r="F243">
            <v>24944.55</v>
          </cell>
          <cell r="G243">
            <v>49331.650000000009</v>
          </cell>
          <cell r="H243">
            <v>1094.06</v>
          </cell>
          <cell r="L243">
            <v>2062.9499999999998</v>
          </cell>
          <cell r="M243">
            <v>10600</v>
          </cell>
          <cell r="O243">
            <v>0</v>
          </cell>
          <cell r="S243">
            <v>63088.660000000011</v>
          </cell>
          <cell r="T243">
            <v>5227097.0600000005</v>
          </cell>
        </row>
        <row r="244">
          <cell r="A244">
            <v>233</v>
          </cell>
          <cell r="B244">
            <v>218</v>
          </cell>
          <cell r="C244">
            <v>47150</v>
          </cell>
          <cell r="D244">
            <v>47119</v>
          </cell>
          <cell r="E244">
            <v>24502.94000000001</v>
          </cell>
          <cell r="F244">
            <v>24828.71</v>
          </cell>
          <cell r="G244">
            <v>49331.650000000009</v>
          </cell>
          <cell r="H244">
            <v>1094.06</v>
          </cell>
          <cell r="L244">
            <v>2062.9499999999998</v>
          </cell>
          <cell r="M244">
            <v>10600</v>
          </cell>
          <cell r="O244">
            <v>0</v>
          </cell>
          <cell r="S244">
            <v>63088.660000000011</v>
          </cell>
          <cell r="T244">
            <v>5202594.12</v>
          </cell>
        </row>
        <row r="245">
          <cell r="A245">
            <v>234</v>
          </cell>
          <cell r="B245">
            <v>219</v>
          </cell>
          <cell r="C245">
            <v>47178</v>
          </cell>
          <cell r="D245">
            <v>47150</v>
          </cell>
          <cell r="E245">
            <v>24619.330000000009</v>
          </cell>
          <cell r="F245">
            <v>24712.32</v>
          </cell>
          <cell r="G245">
            <v>49331.650000000009</v>
          </cell>
          <cell r="H245">
            <v>1094.06</v>
          </cell>
          <cell r="L245">
            <v>2062.9499999999998</v>
          </cell>
          <cell r="M245">
            <v>10600</v>
          </cell>
          <cell r="O245">
            <v>0</v>
          </cell>
          <cell r="S245">
            <v>63088.660000000011</v>
          </cell>
          <cell r="T245">
            <v>5177974.79</v>
          </cell>
        </row>
        <row r="246">
          <cell r="A246">
            <v>235</v>
          </cell>
          <cell r="B246">
            <v>220</v>
          </cell>
          <cell r="C246">
            <v>47209</v>
          </cell>
          <cell r="D246">
            <v>47178</v>
          </cell>
          <cell r="E246">
            <v>24736.270000000008</v>
          </cell>
          <cell r="F246">
            <v>24595.38</v>
          </cell>
          <cell r="G246">
            <v>49331.650000000009</v>
          </cell>
          <cell r="H246">
            <v>1094.06</v>
          </cell>
          <cell r="L246">
            <v>2062.9499999999998</v>
          </cell>
          <cell r="M246">
            <v>10600</v>
          </cell>
          <cell r="O246">
            <v>0</v>
          </cell>
          <cell r="S246">
            <v>63088.660000000011</v>
          </cell>
          <cell r="T246">
            <v>5153238.5200000005</v>
          </cell>
        </row>
        <row r="247">
          <cell r="A247">
            <v>236</v>
          </cell>
          <cell r="B247">
            <v>221</v>
          </cell>
          <cell r="C247">
            <v>47239</v>
          </cell>
          <cell r="D247">
            <v>47209</v>
          </cell>
          <cell r="E247">
            <v>24853.770000000008</v>
          </cell>
          <cell r="F247">
            <v>24477.88</v>
          </cell>
          <cell r="G247">
            <v>49331.650000000009</v>
          </cell>
          <cell r="H247">
            <v>1094.06</v>
          </cell>
          <cell r="L247">
            <v>2062.9499999999998</v>
          </cell>
          <cell r="M247">
            <v>10600</v>
          </cell>
          <cell r="O247">
            <v>0</v>
          </cell>
          <cell r="S247">
            <v>63088.660000000011</v>
          </cell>
          <cell r="T247">
            <v>5128384.7500000009</v>
          </cell>
        </row>
        <row r="248">
          <cell r="A248">
            <v>237</v>
          </cell>
          <cell r="B248">
            <v>222</v>
          </cell>
          <cell r="C248">
            <v>47270</v>
          </cell>
          <cell r="D248">
            <v>47239</v>
          </cell>
          <cell r="E248">
            <v>24971.820000000007</v>
          </cell>
          <cell r="F248">
            <v>24359.83</v>
          </cell>
          <cell r="G248">
            <v>49331.650000000009</v>
          </cell>
          <cell r="H248">
            <v>1094.06</v>
          </cell>
          <cell r="L248">
            <v>2062.9499999999998</v>
          </cell>
          <cell r="M248">
            <v>10600</v>
          </cell>
          <cell r="O248">
            <v>0</v>
          </cell>
          <cell r="S248">
            <v>63088.660000000011</v>
          </cell>
          <cell r="T248">
            <v>5103412.9300000006</v>
          </cell>
        </row>
        <row r="249">
          <cell r="A249">
            <v>238</v>
          </cell>
          <cell r="B249">
            <v>223</v>
          </cell>
          <cell r="C249">
            <v>47300</v>
          </cell>
          <cell r="D249">
            <v>47270</v>
          </cell>
          <cell r="E249">
            <v>25090.44000000001</v>
          </cell>
          <cell r="F249">
            <v>24241.21</v>
          </cell>
          <cell r="G249">
            <v>49331.650000000009</v>
          </cell>
          <cell r="H249">
            <v>1094.06</v>
          </cell>
          <cell r="L249">
            <v>2062.9499999999998</v>
          </cell>
          <cell r="M249">
            <v>10600</v>
          </cell>
          <cell r="O249">
            <v>0</v>
          </cell>
          <cell r="S249">
            <v>63088.660000000011</v>
          </cell>
          <cell r="T249">
            <v>5078322.49</v>
          </cell>
        </row>
        <row r="250">
          <cell r="A250">
            <v>239</v>
          </cell>
          <cell r="B250">
            <v>224</v>
          </cell>
          <cell r="C250">
            <v>47331</v>
          </cell>
          <cell r="D250">
            <v>47300</v>
          </cell>
          <cell r="E250">
            <v>25209.62000000001</v>
          </cell>
          <cell r="F250">
            <v>24122.03</v>
          </cell>
          <cell r="G250">
            <v>49331.650000000009</v>
          </cell>
          <cell r="H250">
            <v>1094.06</v>
          </cell>
          <cell r="L250">
            <v>2062.9499999999998</v>
          </cell>
          <cell r="M250">
            <v>10600</v>
          </cell>
          <cell r="O250">
            <v>0</v>
          </cell>
          <cell r="S250">
            <v>63088.660000000011</v>
          </cell>
          <cell r="T250">
            <v>5053112.87</v>
          </cell>
        </row>
        <row r="251">
          <cell r="A251">
            <v>240</v>
          </cell>
          <cell r="B251">
            <v>225</v>
          </cell>
          <cell r="C251">
            <v>47362</v>
          </cell>
          <cell r="D251">
            <v>47331</v>
          </cell>
          <cell r="E251">
            <v>25329.360000000008</v>
          </cell>
          <cell r="F251">
            <v>24002.29</v>
          </cell>
          <cell r="G251">
            <v>49331.650000000009</v>
          </cell>
          <cell r="H251">
            <v>1094.06</v>
          </cell>
          <cell r="L251">
            <v>2062.9499999999998</v>
          </cell>
          <cell r="M251">
            <v>10600</v>
          </cell>
          <cell r="O251">
            <v>0</v>
          </cell>
          <cell r="S251">
            <v>63088.660000000011</v>
          </cell>
          <cell r="T251">
            <v>5027783.51</v>
          </cell>
        </row>
        <row r="252">
          <cell r="A252">
            <v>241</v>
          </cell>
          <cell r="B252">
            <v>226</v>
          </cell>
          <cell r="C252">
            <v>47392</v>
          </cell>
          <cell r="D252">
            <v>47362</v>
          </cell>
          <cell r="E252">
            <v>25449.680000000008</v>
          </cell>
          <cell r="F252">
            <v>23881.97</v>
          </cell>
          <cell r="G252">
            <v>49331.650000000009</v>
          </cell>
          <cell r="H252">
            <v>1094.06</v>
          </cell>
          <cell r="L252">
            <v>2062.9499999999998</v>
          </cell>
          <cell r="M252">
            <v>10600</v>
          </cell>
          <cell r="O252">
            <v>0</v>
          </cell>
          <cell r="S252">
            <v>63088.660000000011</v>
          </cell>
          <cell r="T252">
            <v>5002333.83</v>
          </cell>
        </row>
        <row r="253">
          <cell r="A253">
            <v>242</v>
          </cell>
          <cell r="B253">
            <v>227</v>
          </cell>
          <cell r="C253">
            <v>47423</v>
          </cell>
          <cell r="D253">
            <v>47392</v>
          </cell>
          <cell r="E253">
            <v>25570.560000000009</v>
          </cell>
          <cell r="F253">
            <v>23761.09</v>
          </cell>
          <cell r="G253">
            <v>49331.650000000009</v>
          </cell>
          <cell r="H253">
            <v>1094.06</v>
          </cell>
          <cell r="L253">
            <v>2062.9499999999998</v>
          </cell>
          <cell r="M253">
            <v>10600</v>
          </cell>
          <cell r="O253">
            <v>0</v>
          </cell>
          <cell r="S253">
            <v>63088.660000000011</v>
          </cell>
          <cell r="T253">
            <v>4976763.2700000005</v>
          </cell>
        </row>
        <row r="254">
          <cell r="A254">
            <v>243</v>
          </cell>
          <cell r="B254">
            <v>228</v>
          </cell>
          <cell r="C254">
            <v>47453</v>
          </cell>
          <cell r="D254">
            <v>47423</v>
          </cell>
          <cell r="E254">
            <v>25692.020000000008</v>
          </cell>
          <cell r="F254">
            <v>23639.63</v>
          </cell>
          <cell r="G254">
            <v>49331.650000000009</v>
          </cell>
          <cell r="H254">
            <v>1094.06</v>
          </cell>
          <cell r="L254">
            <v>2062.9499999999998</v>
          </cell>
          <cell r="M254">
            <v>10600</v>
          </cell>
          <cell r="O254">
            <v>0</v>
          </cell>
          <cell r="S254">
            <v>63088.660000000011</v>
          </cell>
          <cell r="T254">
            <v>4951071.2500000009</v>
          </cell>
        </row>
        <row r="255">
          <cell r="A255">
            <v>244</v>
          </cell>
          <cell r="B255">
            <v>229</v>
          </cell>
          <cell r="C255">
            <v>47484</v>
          </cell>
          <cell r="D255">
            <v>47453</v>
          </cell>
          <cell r="E255">
            <v>26010.16</v>
          </cell>
          <cell r="F255">
            <v>23517.59</v>
          </cell>
          <cell r="G255">
            <v>49527.75</v>
          </cell>
          <cell r="H255">
            <v>1031.47</v>
          </cell>
          <cell r="L255">
            <v>1929.44</v>
          </cell>
          <cell r="M255">
            <v>10600</v>
          </cell>
          <cell r="O255">
            <v>0</v>
          </cell>
          <cell r="S255">
            <v>63088.66</v>
          </cell>
          <cell r="T255">
            <v>4925061.0900000008</v>
          </cell>
        </row>
        <row r="256">
          <cell r="A256">
            <v>245</v>
          </cell>
          <cell r="B256">
            <v>230</v>
          </cell>
          <cell r="C256">
            <v>47515</v>
          </cell>
          <cell r="D256">
            <v>47484</v>
          </cell>
          <cell r="E256">
            <v>26133.71</v>
          </cell>
          <cell r="F256">
            <v>23394.04</v>
          </cell>
          <cell r="G256">
            <v>49527.75</v>
          </cell>
          <cell r="H256">
            <v>1031.47</v>
          </cell>
          <cell r="L256">
            <v>1929.44</v>
          </cell>
          <cell r="M256">
            <v>10600</v>
          </cell>
          <cell r="O256">
            <v>0</v>
          </cell>
          <cell r="S256">
            <v>63088.66</v>
          </cell>
          <cell r="T256">
            <v>4898927.3800000008</v>
          </cell>
        </row>
        <row r="257">
          <cell r="A257">
            <v>246</v>
          </cell>
          <cell r="B257">
            <v>231</v>
          </cell>
          <cell r="C257">
            <v>47543</v>
          </cell>
          <cell r="D257">
            <v>47515</v>
          </cell>
          <cell r="E257">
            <v>26257.84</v>
          </cell>
          <cell r="F257">
            <v>23269.91</v>
          </cell>
          <cell r="G257">
            <v>49527.75</v>
          </cell>
          <cell r="H257">
            <v>1031.47</v>
          </cell>
          <cell r="L257">
            <v>1929.44</v>
          </cell>
          <cell r="M257">
            <v>10600</v>
          </cell>
          <cell r="O257">
            <v>0</v>
          </cell>
          <cell r="S257">
            <v>63088.66</v>
          </cell>
          <cell r="T257">
            <v>4872669.540000001</v>
          </cell>
        </row>
        <row r="258">
          <cell r="A258">
            <v>247</v>
          </cell>
          <cell r="B258">
            <v>232</v>
          </cell>
          <cell r="C258">
            <v>47574</v>
          </cell>
          <cell r="D258">
            <v>47543</v>
          </cell>
          <cell r="E258">
            <v>26382.57</v>
          </cell>
          <cell r="F258">
            <v>23145.18</v>
          </cell>
          <cell r="G258">
            <v>49527.75</v>
          </cell>
          <cell r="H258">
            <v>1031.47</v>
          </cell>
          <cell r="L258">
            <v>1929.44</v>
          </cell>
          <cell r="M258">
            <v>10600</v>
          </cell>
          <cell r="O258">
            <v>0</v>
          </cell>
          <cell r="S258">
            <v>63088.66</v>
          </cell>
          <cell r="T258">
            <v>4846286.9700000007</v>
          </cell>
        </row>
        <row r="259">
          <cell r="A259">
            <v>248</v>
          </cell>
          <cell r="B259">
            <v>233</v>
          </cell>
          <cell r="C259">
            <v>47604</v>
          </cell>
          <cell r="D259">
            <v>47574</v>
          </cell>
          <cell r="E259">
            <v>26507.89</v>
          </cell>
          <cell r="F259">
            <v>23019.86</v>
          </cell>
          <cell r="G259">
            <v>49527.75</v>
          </cell>
          <cell r="H259">
            <v>1031.47</v>
          </cell>
          <cell r="L259">
            <v>1929.44</v>
          </cell>
          <cell r="M259">
            <v>10600</v>
          </cell>
          <cell r="O259">
            <v>0</v>
          </cell>
          <cell r="S259">
            <v>63088.66</v>
          </cell>
          <cell r="T259">
            <v>4819779.080000001</v>
          </cell>
        </row>
        <row r="260">
          <cell r="A260">
            <v>249</v>
          </cell>
          <cell r="B260">
            <v>234</v>
          </cell>
          <cell r="C260">
            <v>47635</v>
          </cell>
          <cell r="D260">
            <v>47604</v>
          </cell>
          <cell r="E260">
            <v>26633.8</v>
          </cell>
          <cell r="F260">
            <v>22893.95</v>
          </cell>
          <cell r="G260">
            <v>49527.75</v>
          </cell>
          <cell r="H260">
            <v>1031.47</v>
          </cell>
          <cell r="L260">
            <v>1929.44</v>
          </cell>
          <cell r="M260">
            <v>10600</v>
          </cell>
          <cell r="O260">
            <v>0</v>
          </cell>
          <cell r="S260">
            <v>63088.66</v>
          </cell>
          <cell r="T260">
            <v>4793145.2800000012</v>
          </cell>
        </row>
        <row r="261">
          <cell r="A261">
            <v>250</v>
          </cell>
          <cell r="B261">
            <v>235</v>
          </cell>
          <cell r="C261">
            <v>47665</v>
          </cell>
          <cell r="D261">
            <v>47635</v>
          </cell>
          <cell r="E261">
            <v>26760.31</v>
          </cell>
          <cell r="F261">
            <v>22767.439999999999</v>
          </cell>
          <cell r="G261">
            <v>49527.75</v>
          </cell>
          <cell r="H261">
            <v>1031.47</v>
          </cell>
          <cell r="L261">
            <v>1929.44</v>
          </cell>
          <cell r="M261">
            <v>10600</v>
          </cell>
          <cell r="O261">
            <v>0</v>
          </cell>
          <cell r="S261">
            <v>63088.66</v>
          </cell>
          <cell r="T261">
            <v>4766384.9700000016</v>
          </cell>
        </row>
        <row r="262">
          <cell r="A262">
            <v>251</v>
          </cell>
          <cell r="B262">
            <v>236</v>
          </cell>
          <cell r="C262">
            <v>47696</v>
          </cell>
          <cell r="D262">
            <v>47665</v>
          </cell>
          <cell r="E262">
            <v>26887.42</v>
          </cell>
          <cell r="F262">
            <v>22640.33</v>
          </cell>
          <cell r="G262">
            <v>49527.75</v>
          </cell>
          <cell r="H262">
            <v>1031.47</v>
          </cell>
          <cell r="L262">
            <v>1929.44</v>
          </cell>
          <cell r="M262">
            <v>10600</v>
          </cell>
          <cell r="O262">
            <v>0</v>
          </cell>
          <cell r="S262">
            <v>63088.66</v>
          </cell>
          <cell r="T262">
            <v>4739497.5500000017</v>
          </cell>
        </row>
        <row r="263">
          <cell r="A263">
            <v>252</v>
          </cell>
          <cell r="B263">
            <v>237</v>
          </cell>
          <cell r="C263">
            <v>47727</v>
          </cell>
          <cell r="D263">
            <v>47696</v>
          </cell>
          <cell r="E263">
            <v>27015.14</v>
          </cell>
          <cell r="F263">
            <v>22512.61</v>
          </cell>
          <cell r="G263">
            <v>49527.75</v>
          </cell>
          <cell r="H263">
            <v>1031.47</v>
          </cell>
          <cell r="L263">
            <v>1929.44</v>
          </cell>
          <cell r="M263">
            <v>10600</v>
          </cell>
          <cell r="O263">
            <v>0</v>
          </cell>
          <cell r="S263">
            <v>63088.66</v>
          </cell>
          <cell r="T263">
            <v>4712482.410000002</v>
          </cell>
        </row>
        <row r="264">
          <cell r="A264">
            <v>253</v>
          </cell>
          <cell r="B264">
            <v>238</v>
          </cell>
          <cell r="C264">
            <v>47757</v>
          </cell>
          <cell r="D264">
            <v>47727</v>
          </cell>
          <cell r="E264">
            <v>27143.46</v>
          </cell>
          <cell r="F264">
            <v>22384.29</v>
          </cell>
          <cell r="G264">
            <v>49527.75</v>
          </cell>
          <cell r="H264">
            <v>1031.47</v>
          </cell>
          <cell r="L264">
            <v>1929.44</v>
          </cell>
          <cell r="M264">
            <v>10600</v>
          </cell>
          <cell r="O264">
            <v>0</v>
          </cell>
          <cell r="S264">
            <v>63088.66</v>
          </cell>
          <cell r="T264">
            <v>4685338.950000002</v>
          </cell>
        </row>
        <row r="265">
          <cell r="A265">
            <v>254</v>
          </cell>
          <cell r="B265">
            <v>239</v>
          </cell>
          <cell r="C265">
            <v>47788</v>
          </cell>
          <cell r="D265">
            <v>47757</v>
          </cell>
          <cell r="E265">
            <v>27272.39</v>
          </cell>
          <cell r="F265">
            <v>22255.360000000001</v>
          </cell>
          <cell r="G265">
            <v>49527.75</v>
          </cell>
          <cell r="H265">
            <v>1031.47</v>
          </cell>
          <cell r="L265">
            <v>1929.44</v>
          </cell>
          <cell r="M265">
            <v>10600</v>
          </cell>
          <cell r="O265">
            <v>0</v>
          </cell>
          <cell r="S265">
            <v>63088.66</v>
          </cell>
          <cell r="T265">
            <v>4658066.5600000024</v>
          </cell>
        </row>
        <row r="266">
          <cell r="A266">
            <v>255</v>
          </cell>
          <cell r="B266">
            <v>240</v>
          </cell>
          <cell r="C266">
            <v>47818</v>
          </cell>
          <cell r="D266">
            <v>47788</v>
          </cell>
          <cell r="E266">
            <v>27401.93</v>
          </cell>
          <cell r="F266">
            <v>22125.82</v>
          </cell>
          <cell r="G266">
            <v>49527.75</v>
          </cell>
          <cell r="H266">
            <v>1031.47</v>
          </cell>
          <cell r="L266">
            <v>1929.44</v>
          </cell>
          <cell r="M266">
            <v>10600</v>
          </cell>
          <cell r="O266">
            <v>0</v>
          </cell>
          <cell r="S266">
            <v>63088.66</v>
          </cell>
          <cell r="T266">
            <v>4630664.6300000027</v>
          </cell>
        </row>
        <row r="267">
          <cell r="A267">
            <v>256</v>
          </cell>
          <cell r="B267">
            <v>241</v>
          </cell>
          <cell r="C267">
            <v>47849</v>
          </cell>
          <cell r="D267">
            <v>47818</v>
          </cell>
          <cell r="E267">
            <v>27741.220000000005</v>
          </cell>
          <cell r="F267">
            <v>21995.66</v>
          </cell>
          <cell r="G267">
            <v>49736.880000000005</v>
          </cell>
          <cell r="H267">
            <v>964.72</v>
          </cell>
          <cell r="L267">
            <v>1787.06</v>
          </cell>
          <cell r="M267">
            <v>10600</v>
          </cell>
          <cell r="O267">
            <v>0</v>
          </cell>
          <cell r="S267">
            <v>63088.66</v>
          </cell>
          <cell r="T267">
            <v>4602923.4100000029</v>
          </cell>
        </row>
        <row r="268">
          <cell r="A268">
            <v>257</v>
          </cell>
          <cell r="B268">
            <v>242</v>
          </cell>
          <cell r="C268">
            <v>47880</v>
          </cell>
          <cell r="D268">
            <v>47849</v>
          </cell>
          <cell r="E268">
            <v>27872.990000000005</v>
          </cell>
          <cell r="F268">
            <v>21863.89</v>
          </cell>
          <cell r="G268">
            <v>49736.880000000005</v>
          </cell>
          <cell r="H268">
            <v>964.72</v>
          </cell>
          <cell r="L268">
            <v>1787.06</v>
          </cell>
          <cell r="M268">
            <v>10600</v>
          </cell>
          <cell r="O268">
            <v>0</v>
          </cell>
          <cell r="S268">
            <v>63088.66</v>
          </cell>
          <cell r="T268">
            <v>4575050.4200000027</v>
          </cell>
        </row>
        <row r="269">
          <cell r="A269">
            <v>258</v>
          </cell>
          <cell r="B269">
            <v>243</v>
          </cell>
          <cell r="C269">
            <v>47908</v>
          </cell>
          <cell r="D269">
            <v>47880</v>
          </cell>
          <cell r="E269">
            <v>28005.390000000003</v>
          </cell>
          <cell r="F269">
            <v>21731.49</v>
          </cell>
          <cell r="G269">
            <v>49736.880000000005</v>
          </cell>
          <cell r="H269">
            <v>964.72</v>
          </cell>
          <cell r="L269">
            <v>1787.06</v>
          </cell>
          <cell r="M269">
            <v>10600</v>
          </cell>
          <cell r="O269">
            <v>0</v>
          </cell>
          <cell r="S269">
            <v>63088.66</v>
          </cell>
          <cell r="T269">
            <v>4547045.0300000031</v>
          </cell>
        </row>
        <row r="270">
          <cell r="A270">
            <v>259</v>
          </cell>
          <cell r="B270">
            <v>244</v>
          </cell>
          <cell r="C270">
            <v>47939</v>
          </cell>
          <cell r="D270">
            <v>47908</v>
          </cell>
          <cell r="E270">
            <v>28138.420000000006</v>
          </cell>
          <cell r="F270">
            <v>21598.46</v>
          </cell>
          <cell r="G270">
            <v>49736.880000000005</v>
          </cell>
          <cell r="H270">
            <v>964.72</v>
          </cell>
          <cell r="L270">
            <v>1787.06</v>
          </cell>
          <cell r="M270">
            <v>10600</v>
          </cell>
          <cell r="O270">
            <v>0</v>
          </cell>
          <cell r="S270">
            <v>63088.66</v>
          </cell>
          <cell r="T270">
            <v>4518906.6100000031</v>
          </cell>
        </row>
        <row r="271">
          <cell r="A271">
            <v>260</v>
          </cell>
          <cell r="B271">
            <v>245</v>
          </cell>
          <cell r="C271">
            <v>47969</v>
          </cell>
          <cell r="D271">
            <v>47939</v>
          </cell>
          <cell r="E271">
            <v>28272.070000000003</v>
          </cell>
          <cell r="F271">
            <v>21464.81</v>
          </cell>
          <cell r="G271">
            <v>49736.880000000005</v>
          </cell>
          <cell r="H271">
            <v>964.72</v>
          </cell>
          <cell r="L271">
            <v>1787.06</v>
          </cell>
          <cell r="M271">
            <v>10600</v>
          </cell>
          <cell r="O271">
            <v>0</v>
          </cell>
          <cell r="S271">
            <v>63088.66</v>
          </cell>
          <cell r="T271">
            <v>4490634.5400000028</v>
          </cell>
        </row>
        <row r="272">
          <cell r="A272">
            <v>261</v>
          </cell>
          <cell r="B272">
            <v>246</v>
          </cell>
          <cell r="C272">
            <v>48000</v>
          </cell>
          <cell r="D272">
            <v>47969</v>
          </cell>
          <cell r="E272">
            <v>28406.370000000006</v>
          </cell>
          <cell r="F272">
            <v>21330.51</v>
          </cell>
          <cell r="G272">
            <v>49736.880000000005</v>
          </cell>
          <cell r="H272">
            <v>964.72</v>
          </cell>
          <cell r="L272">
            <v>1787.06</v>
          </cell>
          <cell r="M272">
            <v>10600</v>
          </cell>
          <cell r="O272">
            <v>0</v>
          </cell>
          <cell r="S272">
            <v>63088.66</v>
          </cell>
          <cell r="T272">
            <v>4462228.1700000027</v>
          </cell>
        </row>
        <row r="273">
          <cell r="A273">
            <v>262</v>
          </cell>
          <cell r="B273">
            <v>247</v>
          </cell>
          <cell r="C273">
            <v>48030</v>
          </cell>
          <cell r="D273">
            <v>48000</v>
          </cell>
          <cell r="E273">
            <v>28541.300000000003</v>
          </cell>
          <cell r="F273">
            <v>21195.58</v>
          </cell>
          <cell r="G273">
            <v>49736.880000000005</v>
          </cell>
          <cell r="H273">
            <v>964.72</v>
          </cell>
          <cell r="L273">
            <v>1787.06</v>
          </cell>
          <cell r="M273">
            <v>10600</v>
          </cell>
          <cell r="O273">
            <v>0</v>
          </cell>
          <cell r="S273">
            <v>63088.66</v>
          </cell>
          <cell r="T273">
            <v>4433686.8700000029</v>
          </cell>
        </row>
        <row r="274">
          <cell r="A274">
            <v>263</v>
          </cell>
          <cell r="B274">
            <v>248</v>
          </cell>
          <cell r="C274">
            <v>48061</v>
          </cell>
          <cell r="D274">
            <v>48030</v>
          </cell>
          <cell r="E274">
            <v>28676.870000000006</v>
          </cell>
          <cell r="F274">
            <v>21060.01</v>
          </cell>
          <cell r="G274">
            <v>49736.880000000005</v>
          </cell>
          <cell r="H274">
            <v>964.72</v>
          </cell>
          <cell r="L274">
            <v>1787.06</v>
          </cell>
          <cell r="M274">
            <v>10600</v>
          </cell>
          <cell r="O274">
            <v>0</v>
          </cell>
          <cell r="S274">
            <v>63088.66</v>
          </cell>
          <cell r="T274">
            <v>4405010.0000000028</v>
          </cell>
        </row>
        <row r="275">
          <cell r="A275">
            <v>264</v>
          </cell>
          <cell r="B275">
            <v>249</v>
          </cell>
          <cell r="C275">
            <v>48092</v>
          </cell>
          <cell r="D275">
            <v>48061</v>
          </cell>
          <cell r="E275">
            <v>28813.080000000005</v>
          </cell>
          <cell r="F275">
            <v>20923.8</v>
          </cell>
          <cell r="G275">
            <v>49736.880000000005</v>
          </cell>
          <cell r="H275">
            <v>964.72</v>
          </cell>
          <cell r="L275">
            <v>1787.06</v>
          </cell>
          <cell r="M275">
            <v>10600</v>
          </cell>
          <cell r="O275">
            <v>0</v>
          </cell>
          <cell r="S275">
            <v>63088.66</v>
          </cell>
          <cell r="T275">
            <v>4376196.9200000027</v>
          </cell>
        </row>
        <row r="276">
          <cell r="A276">
            <v>265</v>
          </cell>
          <cell r="B276">
            <v>250</v>
          </cell>
          <cell r="C276">
            <v>48122</v>
          </cell>
          <cell r="D276">
            <v>48092</v>
          </cell>
          <cell r="E276">
            <v>28949.940000000006</v>
          </cell>
          <cell r="F276">
            <v>20786.939999999999</v>
          </cell>
          <cell r="G276">
            <v>49736.880000000005</v>
          </cell>
          <cell r="H276">
            <v>964.72</v>
          </cell>
          <cell r="L276">
            <v>1787.06</v>
          </cell>
          <cell r="M276">
            <v>10600</v>
          </cell>
          <cell r="O276">
            <v>0</v>
          </cell>
          <cell r="S276">
            <v>63088.66</v>
          </cell>
          <cell r="T276">
            <v>4347246.9800000023</v>
          </cell>
        </row>
        <row r="277">
          <cell r="A277">
            <v>266</v>
          </cell>
          <cell r="B277">
            <v>251</v>
          </cell>
          <cell r="C277">
            <v>48153</v>
          </cell>
          <cell r="D277">
            <v>48122</v>
          </cell>
          <cell r="E277">
            <v>29087.460000000006</v>
          </cell>
          <cell r="F277">
            <v>20649.419999999998</v>
          </cell>
          <cell r="G277">
            <v>49736.880000000005</v>
          </cell>
          <cell r="H277">
            <v>964.72</v>
          </cell>
          <cell r="L277">
            <v>1787.06</v>
          </cell>
          <cell r="M277">
            <v>10600</v>
          </cell>
          <cell r="O277">
            <v>0</v>
          </cell>
          <cell r="S277">
            <v>63088.66</v>
          </cell>
          <cell r="T277">
            <v>4318159.5200000023</v>
          </cell>
        </row>
        <row r="278">
          <cell r="A278">
            <v>267</v>
          </cell>
          <cell r="B278">
            <v>252</v>
          </cell>
          <cell r="C278">
            <v>48183</v>
          </cell>
          <cell r="D278">
            <v>48153</v>
          </cell>
          <cell r="E278">
            <v>29225.620000000006</v>
          </cell>
          <cell r="F278">
            <v>20511.259999999998</v>
          </cell>
          <cell r="G278">
            <v>49736.880000000005</v>
          </cell>
          <cell r="H278">
            <v>964.72</v>
          </cell>
          <cell r="L278">
            <v>1787.06</v>
          </cell>
          <cell r="M278">
            <v>10600</v>
          </cell>
          <cell r="O278">
            <v>0</v>
          </cell>
          <cell r="S278">
            <v>63088.66</v>
          </cell>
          <cell r="T278">
            <v>4288933.9000000022</v>
          </cell>
        </row>
        <row r="279">
          <cell r="A279">
            <v>268</v>
          </cell>
          <cell r="B279">
            <v>253</v>
          </cell>
          <cell r="C279">
            <v>48214</v>
          </cell>
          <cell r="D279">
            <v>48183</v>
          </cell>
          <cell r="E279">
            <v>29587.500000000004</v>
          </cell>
          <cell r="F279">
            <v>20372.439999999999</v>
          </cell>
          <cell r="G279">
            <v>49959.94</v>
          </cell>
          <cell r="H279">
            <v>893.53</v>
          </cell>
          <cell r="L279">
            <v>1635.19</v>
          </cell>
          <cell r="M279">
            <v>10600</v>
          </cell>
          <cell r="O279">
            <v>0</v>
          </cell>
          <cell r="S279">
            <v>63088.66</v>
          </cell>
          <cell r="T279">
            <v>4259346.4000000022</v>
          </cell>
        </row>
        <row r="280">
          <cell r="A280">
            <v>269</v>
          </cell>
          <cell r="B280">
            <v>254</v>
          </cell>
          <cell r="C280">
            <v>48245</v>
          </cell>
          <cell r="D280">
            <v>48214</v>
          </cell>
          <cell r="E280">
            <v>29728.04</v>
          </cell>
          <cell r="F280">
            <v>20231.900000000001</v>
          </cell>
          <cell r="G280">
            <v>49959.94</v>
          </cell>
          <cell r="H280">
            <v>893.53</v>
          </cell>
          <cell r="L280">
            <v>1635.19</v>
          </cell>
          <cell r="M280">
            <v>10600</v>
          </cell>
          <cell r="O280">
            <v>0</v>
          </cell>
          <cell r="S280">
            <v>63088.66</v>
          </cell>
          <cell r="T280">
            <v>4229618.3600000022</v>
          </cell>
        </row>
        <row r="281">
          <cell r="A281">
            <v>270</v>
          </cell>
          <cell r="B281">
            <v>255</v>
          </cell>
          <cell r="C281">
            <v>48274</v>
          </cell>
          <cell r="D281">
            <v>48245</v>
          </cell>
          <cell r="E281">
            <v>29869.250000000004</v>
          </cell>
          <cell r="F281">
            <v>20090.689999999999</v>
          </cell>
          <cell r="G281">
            <v>49959.94</v>
          </cell>
          <cell r="H281">
            <v>893.53</v>
          </cell>
          <cell r="L281">
            <v>1635.19</v>
          </cell>
          <cell r="M281">
            <v>10600</v>
          </cell>
          <cell r="O281">
            <v>0</v>
          </cell>
          <cell r="S281">
            <v>63088.66</v>
          </cell>
          <cell r="T281">
            <v>4199749.1100000022</v>
          </cell>
        </row>
        <row r="282">
          <cell r="A282">
            <v>271</v>
          </cell>
          <cell r="B282">
            <v>256</v>
          </cell>
          <cell r="C282">
            <v>48305</v>
          </cell>
          <cell r="D282">
            <v>48274</v>
          </cell>
          <cell r="E282">
            <v>30011.13</v>
          </cell>
          <cell r="F282">
            <v>19948.810000000001</v>
          </cell>
          <cell r="G282">
            <v>49959.94</v>
          </cell>
          <cell r="H282">
            <v>893.53</v>
          </cell>
          <cell r="L282">
            <v>1635.19</v>
          </cell>
          <cell r="M282">
            <v>10600</v>
          </cell>
          <cell r="O282">
            <v>0</v>
          </cell>
          <cell r="S282">
            <v>63088.66</v>
          </cell>
          <cell r="T282">
            <v>4169737.9800000023</v>
          </cell>
        </row>
        <row r="283">
          <cell r="A283">
            <v>272</v>
          </cell>
          <cell r="B283">
            <v>257</v>
          </cell>
          <cell r="C283">
            <v>48335</v>
          </cell>
          <cell r="D283">
            <v>48305</v>
          </cell>
          <cell r="E283">
            <v>30153.680000000004</v>
          </cell>
          <cell r="F283">
            <v>19806.259999999998</v>
          </cell>
          <cell r="G283">
            <v>49959.94</v>
          </cell>
          <cell r="H283">
            <v>893.53</v>
          </cell>
          <cell r="L283">
            <v>1635.19</v>
          </cell>
          <cell r="M283">
            <v>10600</v>
          </cell>
          <cell r="O283">
            <v>0</v>
          </cell>
          <cell r="S283">
            <v>63088.66</v>
          </cell>
          <cell r="T283">
            <v>4139584.3000000021</v>
          </cell>
        </row>
        <row r="284">
          <cell r="A284">
            <v>273</v>
          </cell>
          <cell r="B284">
            <v>258</v>
          </cell>
          <cell r="C284">
            <v>48366</v>
          </cell>
          <cell r="D284">
            <v>48335</v>
          </cell>
          <cell r="E284">
            <v>30296.910000000003</v>
          </cell>
          <cell r="F284">
            <v>19663.03</v>
          </cell>
          <cell r="G284">
            <v>49959.94</v>
          </cell>
          <cell r="H284">
            <v>893.53</v>
          </cell>
          <cell r="L284">
            <v>1635.19</v>
          </cell>
          <cell r="M284">
            <v>10600</v>
          </cell>
          <cell r="O284">
            <v>0</v>
          </cell>
          <cell r="S284">
            <v>63088.66</v>
          </cell>
          <cell r="T284">
            <v>4109287.390000002</v>
          </cell>
        </row>
        <row r="285">
          <cell r="A285">
            <v>274</v>
          </cell>
          <cell r="B285">
            <v>259</v>
          </cell>
          <cell r="C285">
            <v>48396</v>
          </cell>
          <cell r="D285">
            <v>48366</v>
          </cell>
          <cell r="E285">
            <v>30440.820000000003</v>
          </cell>
          <cell r="F285">
            <v>19519.12</v>
          </cell>
          <cell r="G285">
            <v>49959.94</v>
          </cell>
          <cell r="H285">
            <v>893.53</v>
          </cell>
          <cell r="L285">
            <v>1635.19</v>
          </cell>
          <cell r="M285">
            <v>10600</v>
          </cell>
          <cell r="O285">
            <v>0</v>
          </cell>
          <cell r="S285">
            <v>63088.66</v>
          </cell>
          <cell r="T285">
            <v>4078846.5700000022</v>
          </cell>
        </row>
        <row r="286">
          <cell r="A286">
            <v>275</v>
          </cell>
          <cell r="B286">
            <v>260</v>
          </cell>
          <cell r="C286">
            <v>48427</v>
          </cell>
          <cell r="D286">
            <v>48396</v>
          </cell>
          <cell r="E286">
            <v>30585.420000000002</v>
          </cell>
          <cell r="F286">
            <v>19374.52</v>
          </cell>
          <cell r="G286">
            <v>49959.94</v>
          </cell>
          <cell r="H286">
            <v>893.53</v>
          </cell>
          <cell r="L286">
            <v>1635.19</v>
          </cell>
          <cell r="M286">
            <v>10600</v>
          </cell>
          <cell r="O286">
            <v>0</v>
          </cell>
          <cell r="S286">
            <v>63088.66</v>
          </cell>
          <cell r="T286">
            <v>4048261.1500000022</v>
          </cell>
        </row>
        <row r="287">
          <cell r="A287">
            <v>276</v>
          </cell>
          <cell r="B287">
            <v>261</v>
          </cell>
          <cell r="C287">
            <v>48458</v>
          </cell>
          <cell r="D287">
            <v>48427</v>
          </cell>
          <cell r="E287">
            <v>30730.7</v>
          </cell>
          <cell r="F287">
            <v>19229.240000000002</v>
          </cell>
          <cell r="G287">
            <v>49959.94</v>
          </cell>
          <cell r="H287">
            <v>893.53</v>
          </cell>
          <cell r="L287">
            <v>1635.19</v>
          </cell>
          <cell r="M287">
            <v>10600</v>
          </cell>
          <cell r="O287">
            <v>0</v>
          </cell>
          <cell r="S287">
            <v>63088.66</v>
          </cell>
          <cell r="T287">
            <v>4017530.450000002</v>
          </cell>
        </row>
        <row r="288">
          <cell r="A288">
            <v>277</v>
          </cell>
          <cell r="B288">
            <v>262</v>
          </cell>
          <cell r="C288">
            <v>48488</v>
          </cell>
          <cell r="D288">
            <v>48458</v>
          </cell>
          <cell r="E288">
            <v>30876.670000000002</v>
          </cell>
          <cell r="F288">
            <v>19083.27</v>
          </cell>
          <cell r="G288">
            <v>49959.94</v>
          </cell>
          <cell r="H288">
            <v>893.53</v>
          </cell>
          <cell r="L288">
            <v>1635.19</v>
          </cell>
          <cell r="M288">
            <v>10600</v>
          </cell>
          <cell r="O288">
            <v>0</v>
          </cell>
          <cell r="S288">
            <v>63088.66</v>
          </cell>
          <cell r="T288">
            <v>3986653.7800000021</v>
          </cell>
        </row>
        <row r="289">
          <cell r="A289">
            <v>278</v>
          </cell>
          <cell r="B289">
            <v>263</v>
          </cell>
          <cell r="C289">
            <v>48519</v>
          </cell>
          <cell r="D289">
            <v>48488</v>
          </cell>
          <cell r="E289">
            <v>31023.33</v>
          </cell>
          <cell r="F289">
            <v>18936.61</v>
          </cell>
          <cell r="G289">
            <v>49959.94</v>
          </cell>
          <cell r="H289">
            <v>893.53</v>
          </cell>
          <cell r="L289">
            <v>1635.19</v>
          </cell>
          <cell r="M289">
            <v>10600</v>
          </cell>
          <cell r="O289">
            <v>0</v>
          </cell>
          <cell r="S289">
            <v>63088.66</v>
          </cell>
          <cell r="T289">
            <v>3955630.450000002</v>
          </cell>
        </row>
        <row r="290">
          <cell r="A290">
            <v>279</v>
          </cell>
          <cell r="B290">
            <v>264</v>
          </cell>
          <cell r="C290">
            <v>48549</v>
          </cell>
          <cell r="D290">
            <v>48519</v>
          </cell>
          <cell r="E290">
            <v>31170.7</v>
          </cell>
          <cell r="F290">
            <v>18789.240000000002</v>
          </cell>
          <cell r="G290">
            <v>49959.94</v>
          </cell>
          <cell r="H290">
            <v>893.53</v>
          </cell>
          <cell r="L290">
            <v>1635.19</v>
          </cell>
          <cell r="M290">
            <v>10600</v>
          </cell>
          <cell r="O290">
            <v>0</v>
          </cell>
          <cell r="S290">
            <v>63088.66</v>
          </cell>
          <cell r="T290">
            <v>3924459.7500000019</v>
          </cell>
        </row>
        <row r="291">
          <cell r="A291">
            <v>280</v>
          </cell>
          <cell r="B291">
            <v>265</v>
          </cell>
          <cell r="C291">
            <v>48580</v>
          </cell>
          <cell r="D291">
            <v>48549</v>
          </cell>
          <cell r="E291">
            <v>31556.660000000003</v>
          </cell>
          <cell r="F291">
            <v>18641.18</v>
          </cell>
          <cell r="G291">
            <v>50197.840000000004</v>
          </cell>
          <cell r="H291">
            <v>817.6</v>
          </cell>
          <cell r="L291">
            <v>1473.22</v>
          </cell>
          <cell r="M291">
            <v>10600</v>
          </cell>
          <cell r="O291">
            <v>0</v>
          </cell>
          <cell r="S291">
            <v>63088.66</v>
          </cell>
          <cell r="T291">
            <v>3892903.0900000017</v>
          </cell>
        </row>
        <row r="292">
          <cell r="A292">
            <v>281</v>
          </cell>
          <cell r="B292">
            <v>266</v>
          </cell>
          <cell r="C292">
            <v>48611</v>
          </cell>
          <cell r="D292">
            <v>48580</v>
          </cell>
          <cell r="E292">
            <v>31706.550000000003</v>
          </cell>
          <cell r="F292">
            <v>18491.29</v>
          </cell>
          <cell r="G292">
            <v>50197.840000000004</v>
          </cell>
          <cell r="H292">
            <v>817.6</v>
          </cell>
          <cell r="L292">
            <v>1473.22</v>
          </cell>
          <cell r="M292">
            <v>10600</v>
          </cell>
          <cell r="O292">
            <v>0</v>
          </cell>
          <cell r="S292">
            <v>63088.66</v>
          </cell>
          <cell r="T292">
            <v>3861196.5400000019</v>
          </cell>
        </row>
        <row r="293">
          <cell r="A293">
            <v>282</v>
          </cell>
          <cell r="B293">
            <v>267</v>
          </cell>
          <cell r="C293">
            <v>48639</v>
          </cell>
          <cell r="D293">
            <v>48611</v>
          </cell>
          <cell r="E293">
            <v>31857.160000000003</v>
          </cell>
          <cell r="F293">
            <v>18340.68</v>
          </cell>
          <cell r="G293">
            <v>50197.840000000004</v>
          </cell>
          <cell r="H293">
            <v>817.6</v>
          </cell>
          <cell r="L293">
            <v>1473.22</v>
          </cell>
          <cell r="M293">
            <v>10600</v>
          </cell>
          <cell r="O293">
            <v>0</v>
          </cell>
          <cell r="S293">
            <v>63088.66</v>
          </cell>
          <cell r="T293">
            <v>3829339.3800000018</v>
          </cell>
        </row>
        <row r="294">
          <cell r="A294">
            <v>283</v>
          </cell>
          <cell r="B294">
            <v>268</v>
          </cell>
          <cell r="C294">
            <v>48670</v>
          </cell>
          <cell r="D294">
            <v>48639</v>
          </cell>
          <cell r="E294">
            <v>32008.480000000003</v>
          </cell>
          <cell r="F294">
            <v>18189.36</v>
          </cell>
          <cell r="G294">
            <v>50197.840000000004</v>
          </cell>
          <cell r="H294">
            <v>817.6</v>
          </cell>
          <cell r="L294">
            <v>1473.22</v>
          </cell>
          <cell r="M294">
            <v>10600</v>
          </cell>
          <cell r="O294">
            <v>0</v>
          </cell>
          <cell r="S294">
            <v>63088.66</v>
          </cell>
          <cell r="T294">
            <v>3797330.9000000018</v>
          </cell>
        </row>
        <row r="295">
          <cell r="A295">
            <v>284</v>
          </cell>
          <cell r="B295">
            <v>269</v>
          </cell>
          <cell r="C295">
            <v>48700</v>
          </cell>
          <cell r="D295">
            <v>48670</v>
          </cell>
          <cell r="E295">
            <v>32160.520000000004</v>
          </cell>
          <cell r="F295">
            <v>18037.32</v>
          </cell>
          <cell r="G295">
            <v>50197.840000000004</v>
          </cell>
          <cell r="H295">
            <v>817.6</v>
          </cell>
          <cell r="L295">
            <v>1473.22</v>
          </cell>
          <cell r="M295">
            <v>10600</v>
          </cell>
          <cell r="O295">
            <v>0</v>
          </cell>
          <cell r="S295">
            <v>63088.66</v>
          </cell>
          <cell r="T295">
            <v>3765170.3800000018</v>
          </cell>
        </row>
        <row r="296">
          <cell r="A296">
            <v>285</v>
          </cell>
          <cell r="B296">
            <v>270</v>
          </cell>
          <cell r="C296">
            <v>48731</v>
          </cell>
          <cell r="D296">
            <v>48700</v>
          </cell>
          <cell r="E296">
            <v>32313.280000000002</v>
          </cell>
          <cell r="F296">
            <v>17884.560000000001</v>
          </cell>
          <cell r="G296">
            <v>50197.840000000004</v>
          </cell>
          <cell r="H296">
            <v>817.6</v>
          </cell>
          <cell r="L296">
            <v>1473.22</v>
          </cell>
          <cell r="M296">
            <v>10600</v>
          </cell>
          <cell r="O296">
            <v>0</v>
          </cell>
          <cell r="S296">
            <v>63088.66</v>
          </cell>
          <cell r="T296">
            <v>3732857.100000002</v>
          </cell>
        </row>
        <row r="297">
          <cell r="A297">
            <v>286</v>
          </cell>
          <cell r="B297">
            <v>271</v>
          </cell>
          <cell r="C297">
            <v>48761</v>
          </cell>
          <cell r="D297">
            <v>48731</v>
          </cell>
          <cell r="E297">
            <v>32466.770000000004</v>
          </cell>
          <cell r="F297">
            <v>17731.07</v>
          </cell>
          <cell r="G297">
            <v>50197.840000000004</v>
          </cell>
          <cell r="H297">
            <v>817.6</v>
          </cell>
          <cell r="L297">
            <v>1473.22</v>
          </cell>
          <cell r="M297">
            <v>10600</v>
          </cell>
          <cell r="O297">
            <v>0</v>
          </cell>
          <cell r="S297">
            <v>63088.66</v>
          </cell>
          <cell r="T297">
            <v>3700390.3300000019</v>
          </cell>
        </row>
        <row r="298">
          <cell r="A298">
            <v>287</v>
          </cell>
          <cell r="B298">
            <v>272</v>
          </cell>
          <cell r="C298">
            <v>48792</v>
          </cell>
          <cell r="D298">
            <v>48761</v>
          </cell>
          <cell r="E298">
            <v>32620.990000000005</v>
          </cell>
          <cell r="F298">
            <v>17576.849999999999</v>
          </cell>
          <cell r="G298">
            <v>50197.840000000004</v>
          </cell>
          <cell r="H298">
            <v>817.6</v>
          </cell>
          <cell r="L298">
            <v>1473.22</v>
          </cell>
          <cell r="M298">
            <v>10600</v>
          </cell>
          <cell r="O298">
            <v>0</v>
          </cell>
          <cell r="S298">
            <v>63088.66</v>
          </cell>
          <cell r="T298">
            <v>3667769.3400000017</v>
          </cell>
        </row>
        <row r="299">
          <cell r="A299">
            <v>288</v>
          </cell>
          <cell r="B299">
            <v>273</v>
          </cell>
          <cell r="C299">
            <v>48823</v>
          </cell>
          <cell r="D299">
            <v>48792</v>
          </cell>
          <cell r="E299">
            <v>32775.94</v>
          </cell>
          <cell r="F299">
            <v>17421.900000000001</v>
          </cell>
          <cell r="G299">
            <v>50197.840000000004</v>
          </cell>
          <cell r="H299">
            <v>817.6</v>
          </cell>
          <cell r="L299">
            <v>1473.22</v>
          </cell>
          <cell r="M299">
            <v>10600</v>
          </cell>
          <cell r="O299">
            <v>0</v>
          </cell>
          <cell r="S299">
            <v>63088.66</v>
          </cell>
          <cell r="T299">
            <v>3634993.4000000018</v>
          </cell>
        </row>
        <row r="300">
          <cell r="A300">
            <v>289</v>
          </cell>
          <cell r="B300">
            <v>274</v>
          </cell>
          <cell r="C300">
            <v>48853</v>
          </cell>
          <cell r="D300">
            <v>48823</v>
          </cell>
          <cell r="E300">
            <v>32931.620000000003</v>
          </cell>
          <cell r="F300">
            <v>17266.22</v>
          </cell>
          <cell r="G300">
            <v>50197.840000000004</v>
          </cell>
          <cell r="H300">
            <v>817.6</v>
          </cell>
          <cell r="L300">
            <v>1473.22</v>
          </cell>
          <cell r="M300">
            <v>10600</v>
          </cell>
          <cell r="O300">
            <v>0</v>
          </cell>
          <cell r="S300">
            <v>63088.66</v>
          </cell>
          <cell r="T300">
            <v>3602061.7800000017</v>
          </cell>
        </row>
        <row r="301">
          <cell r="A301">
            <v>290</v>
          </cell>
          <cell r="B301">
            <v>275</v>
          </cell>
          <cell r="C301">
            <v>48884</v>
          </cell>
          <cell r="D301">
            <v>48853</v>
          </cell>
          <cell r="E301">
            <v>33088.050000000003</v>
          </cell>
          <cell r="F301">
            <v>17109.79</v>
          </cell>
          <cell r="G301">
            <v>50197.840000000004</v>
          </cell>
          <cell r="H301">
            <v>817.6</v>
          </cell>
          <cell r="L301">
            <v>1473.22</v>
          </cell>
          <cell r="M301">
            <v>10600</v>
          </cell>
          <cell r="O301">
            <v>0</v>
          </cell>
          <cell r="S301">
            <v>63088.66</v>
          </cell>
          <cell r="T301">
            <v>3568973.7300000018</v>
          </cell>
        </row>
        <row r="302">
          <cell r="A302">
            <v>291</v>
          </cell>
          <cell r="B302">
            <v>276</v>
          </cell>
          <cell r="C302">
            <v>48914</v>
          </cell>
          <cell r="D302">
            <v>48884</v>
          </cell>
          <cell r="E302">
            <v>33245.210000000006</v>
          </cell>
          <cell r="F302">
            <v>16952.63</v>
          </cell>
          <cell r="G302">
            <v>50197.840000000011</v>
          </cell>
          <cell r="H302">
            <v>817.6</v>
          </cell>
          <cell r="L302">
            <v>1473.22</v>
          </cell>
          <cell r="M302">
            <v>10600</v>
          </cell>
          <cell r="O302">
            <v>0</v>
          </cell>
          <cell r="S302">
            <v>63088.660000000011</v>
          </cell>
          <cell r="T302">
            <v>3535728.5200000019</v>
          </cell>
        </row>
        <row r="303">
          <cell r="A303">
            <v>292</v>
          </cell>
          <cell r="B303">
            <v>277</v>
          </cell>
          <cell r="C303">
            <v>48945</v>
          </cell>
          <cell r="D303">
            <v>48914</v>
          </cell>
          <cell r="E303">
            <v>33656.870000000003</v>
          </cell>
          <cell r="F303">
            <v>16794.71</v>
          </cell>
          <cell r="G303">
            <v>50451.58</v>
          </cell>
          <cell r="H303">
            <v>736.61</v>
          </cell>
          <cell r="L303">
            <v>1300.47</v>
          </cell>
          <cell r="M303">
            <v>10600</v>
          </cell>
          <cell r="O303">
            <v>0</v>
          </cell>
          <cell r="S303">
            <v>63088.66</v>
          </cell>
          <cell r="T303">
            <v>3502071.6500000018</v>
          </cell>
        </row>
        <row r="304">
          <cell r="A304">
            <v>293</v>
          </cell>
          <cell r="B304">
            <v>278</v>
          </cell>
          <cell r="C304">
            <v>48976</v>
          </cell>
          <cell r="D304">
            <v>48945</v>
          </cell>
          <cell r="E304">
            <v>33816.740000000005</v>
          </cell>
          <cell r="F304">
            <v>16634.84</v>
          </cell>
          <cell r="G304">
            <v>50451.58</v>
          </cell>
          <cell r="H304">
            <v>736.61</v>
          </cell>
          <cell r="L304">
            <v>1300.47</v>
          </cell>
          <cell r="M304">
            <v>10600</v>
          </cell>
          <cell r="O304">
            <v>0</v>
          </cell>
          <cell r="S304">
            <v>63088.66</v>
          </cell>
          <cell r="T304">
            <v>3468254.9100000015</v>
          </cell>
        </row>
        <row r="305">
          <cell r="A305">
            <v>294</v>
          </cell>
          <cell r="B305">
            <v>279</v>
          </cell>
          <cell r="C305">
            <v>49004</v>
          </cell>
          <cell r="D305">
            <v>48976</v>
          </cell>
          <cell r="E305">
            <v>33977.370000000003</v>
          </cell>
          <cell r="F305">
            <v>16474.21</v>
          </cell>
          <cell r="G305">
            <v>50451.58</v>
          </cell>
          <cell r="H305">
            <v>736.61</v>
          </cell>
          <cell r="L305">
            <v>1300.47</v>
          </cell>
          <cell r="M305">
            <v>10600</v>
          </cell>
          <cell r="O305">
            <v>0</v>
          </cell>
          <cell r="S305">
            <v>63088.66</v>
          </cell>
          <cell r="T305">
            <v>3434277.5400000014</v>
          </cell>
        </row>
        <row r="306">
          <cell r="A306">
            <v>295</v>
          </cell>
          <cell r="B306">
            <v>280</v>
          </cell>
          <cell r="C306">
            <v>49035</v>
          </cell>
          <cell r="D306">
            <v>49004</v>
          </cell>
          <cell r="E306">
            <v>34138.76</v>
          </cell>
          <cell r="F306">
            <v>16312.82</v>
          </cell>
          <cell r="G306">
            <v>50451.58</v>
          </cell>
          <cell r="H306">
            <v>736.61</v>
          </cell>
          <cell r="L306">
            <v>1300.47</v>
          </cell>
          <cell r="M306">
            <v>10600</v>
          </cell>
          <cell r="O306">
            <v>0</v>
          </cell>
          <cell r="S306">
            <v>63088.66</v>
          </cell>
          <cell r="T306">
            <v>3400138.7800000017</v>
          </cell>
        </row>
        <row r="307">
          <cell r="A307">
            <v>296</v>
          </cell>
          <cell r="B307">
            <v>281</v>
          </cell>
          <cell r="C307">
            <v>49065</v>
          </cell>
          <cell r="D307">
            <v>49035</v>
          </cell>
          <cell r="E307">
            <v>34300.92</v>
          </cell>
          <cell r="F307">
            <v>16150.66</v>
          </cell>
          <cell r="G307">
            <v>50451.58</v>
          </cell>
          <cell r="H307">
            <v>736.61</v>
          </cell>
          <cell r="L307">
            <v>1300.47</v>
          </cell>
          <cell r="M307">
            <v>10600</v>
          </cell>
          <cell r="O307">
            <v>0</v>
          </cell>
          <cell r="S307">
            <v>63088.66</v>
          </cell>
          <cell r="T307">
            <v>3365837.8600000017</v>
          </cell>
        </row>
        <row r="308">
          <cell r="A308">
            <v>297</v>
          </cell>
          <cell r="B308">
            <v>282</v>
          </cell>
          <cell r="C308">
            <v>49096</v>
          </cell>
          <cell r="D308">
            <v>49065</v>
          </cell>
          <cell r="E308">
            <v>34463.850000000006</v>
          </cell>
          <cell r="F308">
            <v>15987.73</v>
          </cell>
          <cell r="G308">
            <v>50451.58</v>
          </cell>
          <cell r="H308">
            <v>736.61</v>
          </cell>
          <cell r="L308">
            <v>1300.47</v>
          </cell>
          <cell r="M308">
            <v>10600</v>
          </cell>
          <cell r="O308">
            <v>0</v>
          </cell>
          <cell r="S308">
            <v>63088.66</v>
          </cell>
          <cell r="T308">
            <v>3331374.0100000016</v>
          </cell>
        </row>
        <row r="309">
          <cell r="A309">
            <v>298</v>
          </cell>
          <cell r="B309">
            <v>283</v>
          </cell>
          <cell r="C309">
            <v>49126</v>
          </cell>
          <cell r="D309">
            <v>49096</v>
          </cell>
          <cell r="E309">
            <v>34627.550000000003</v>
          </cell>
          <cell r="F309">
            <v>15824.03</v>
          </cell>
          <cell r="G309">
            <v>50451.58</v>
          </cell>
          <cell r="H309">
            <v>736.61</v>
          </cell>
          <cell r="L309">
            <v>1300.47</v>
          </cell>
          <cell r="M309">
            <v>10600</v>
          </cell>
          <cell r="O309">
            <v>0</v>
          </cell>
          <cell r="S309">
            <v>63088.66</v>
          </cell>
          <cell r="T309">
            <v>3296746.4600000018</v>
          </cell>
        </row>
        <row r="310">
          <cell r="A310">
            <v>299</v>
          </cell>
          <cell r="B310">
            <v>284</v>
          </cell>
          <cell r="C310">
            <v>49157</v>
          </cell>
          <cell r="D310">
            <v>49126</v>
          </cell>
          <cell r="E310">
            <v>34792.03</v>
          </cell>
          <cell r="F310">
            <v>15659.55</v>
          </cell>
          <cell r="G310">
            <v>50451.58</v>
          </cell>
          <cell r="H310">
            <v>736.61</v>
          </cell>
          <cell r="L310">
            <v>1300.47</v>
          </cell>
          <cell r="M310">
            <v>10600</v>
          </cell>
          <cell r="O310">
            <v>0</v>
          </cell>
          <cell r="S310">
            <v>63088.66</v>
          </cell>
          <cell r="T310">
            <v>3261954.430000002</v>
          </cell>
        </row>
        <row r="311">
          <cell r="A311">
            <v>300</v>
          </cell>
          <cell r="B311">
            <v>285</v>
          </cell>
          <cell r="C311">
            <v>49188</v>
          </cell>
          <cell r="D311">
            <v>49157</v>
          </cell>
          <cell r="E311">
            <v>34957.300000000003</v>
          </cell>
          <cell r="F311">
            <v>15494.28</v>
          </cell>
          <cell r="G311">
            <v>50451.58</v>
          </cell>
          <cell r="H311">
            <v>736.61</v>
          </cell>
          <cell r="L311">
            <v>1300.47</v>
          </cell>
          <cell r="M311">
            <v>10600</v>
          </cell>
          <cell r="O311">
            <v>0</v>
          </cell>
          <cell r="S311">
            <v>63088.66</v>
          </cell>
          <cell r="T311">
            <v>3226997.1300000022</v>
          </cell>
        </row>
        <row r="312">
          <cell r="A312">
            <v>301</v>
          </cell>
          <cell r="B312">
            <v>286</v>
          </cell>
          <cell r="C312">
            <v>49218</v>
          </cell>
          <cell r="D312">
            <v>49188</v>
          </cell>
          <cell r="E312">
            <v>35123.340000000004</v>
          </cell>
          <cell r="F312">
            <v>15328.24</v>
          </cell>
          <cell r="G312">
            <v>50451.58</v>
          </cell>
          <cell r="H312">
            <v>736.61</v>
          </cell>
          <cell r="L312">
            <v>1300.47</v>
          </cell>
          <cell r="M312">
            <v>10600</v>
          </cell>
          <cell r="O312">
            <v>0</v>
          </cell>
          <cell r="S312">
            <v>63088.66</v>
          </cell>
          <cell r="T312">
            <v>3191873.7900000024</v>
          </cell>
        </row>
        <row r="313">
          <cell r="A313">
            <v>302</v>
          </cell>
          <cell r="B313">
            <v>287</v>
          </cell>
          <cell r="C313">
            <v>49249</v>
          </cell>
          <cell r="D313">
            <v>49218</v>
          </cell>
          <cell r="E313">
            <v>35290.18</v>
          </cell>
          <cell r="F313">
            <v>15161.4</v>
          </cell>
          <cell r="G313">
            <v>50451.58</v>
          </cell>
          <cell r="H313">
            <v>736.61</v>
          </cell>
          <cell r="L313">
            <v>1300.47</v>
          </cell>
          <cell r="M313">
            <v>10600</v>
          </cell>
          <cell r="O313">
            <v>0</v>
          </cell>
          <cell r="S313">
            <v>63088.66</v>
          </cell>
          <cell r="T313">
            <v>3156583.6100000022</v>
          </cell>
        </row>
        <row r="314">
          <cell r="A314">
            <v>303</v>
          </cell>
          <cell r="B314">
            <v>288</v>
          </cell>
          <cell r="C314">
            <v>49279</v>
          </cell>
          <cell r="D314">
            <v>49249</v>
          </cell>
          <cell r="E314">
            <v>35457.81</v>
          </cell>
          <cell r="F314">
            <v>14993.77</v>
          </cell>
          <cell r="G314">
            <v>50451.58</v>
          </cell>
          <cell r="H314">
            <v>736.61</v>
          </cell>
          <cell r="L314">
            <v>1300.47</v>
          </cell>
          <cell r="M314">
            <v>10600</v>
          </cell>
          <cell r="O314">
            <v>0</v>
          </cell>
          <cell r="S314">
            <v>63088.66</v>
          </cell>
          <cell r="T314">
            <v>3121125.8000000021</v>
          </cell>
        </row>
        <row r="315">
          <cell r="A315">
            <v>304</v>
          </cell>
          <cell r="B315">
            <v>289</v>
          </cell>
          <cell r="C315">
            <v>49310</v>
          </cell>
          <cell r="D315">
            <v>49279</v>
          </cell>
          <cell r="E315">
            <v>35896.86</v>
          </cell>
          <cell r="F315">
            <v>14825.35</v>
          </cell>
          <cell r="G315">
            <v>50722.21</v>
          </cell>
          <cell r="H315">
            <v>650.23</v>
          </cell>
          <cell r="L315">
            <v>1116.22</v>
          </cell>
          <cell r="M315">
            <v>10600</v>
          </cell>
          <cell r="O315">
            <v>0</v>
          </cell>
          <cell r="S315">
            <v>63088.659999999996</v>
          </cell>
          <cell r="T315">
            <v>3085228.9400000023</v>
          </cell>
        </row>
        <row r="316">
          <cell r="A316">
            <v>305</v>
          </cell>
          <cell r="B316">
            <v>290</v>
          </cell>
          <cell r="C316">
            <v>49341</v>
          </cell>
          <cell r="D316">
            <v>49310</v>
          </cell>
          <cell r="E316">
            <v>36067.369999999995</v>
          </cell>
          <cell r="F316">
            <v>14654.84</v>
          </cell>
          <cell r="G316">
            <v>50722.209999999992</v>
          </cell>
          <cell r="H316">
            <v>650.23</v>
          </cell>
          <cell r="L316">
            <v>1116.22</v>
          </cell>
          <cell r="M316">
            <v>10600</v>
          </cell>
          <cell r="O316">
            <v>0</v>
          </cell>
          <cell r="S316">
            <v>63088.659999999989</v>
          </cell>
          <cell r="T316">
            <v>3049161.5700000022</v>
          </cell>
        </row>
        <row r="317">
          <cell r="A317">
            <v>306</v>
          </cell>
          <cell r="B317">
            <v>291</v>
          </cell>
          <cell r="C317">
            <v>49369</v>
          </cell>
          <cell r="D317">
            <v>49341</v>
          </cell>
          <cell r="E317">
            <v>36238.69</v>
          </cell>
          <cell r="F317">
            <v>14483.52</v>
          </cell>
          <cell r="G317">
            <v>50722.210000000006</v>
          </cell>
          <cell r="H317">
            <v>650.23</v>
          </cell>
          <cell r="L317">
            <v>1116.22</v>
          </cell>
          <cell r="M317">
            <v>10600</v>
          </cell>
          <cell r="O317">
            <v>0</v>
          </cell>
          <cell r="S317">
            <v>63088.66</v>
          </cell>
          <cell r="T317">
            <v>3012922.8800000022</v>
          </cell>
        </row>
        <row r="318">
          <cell r="A318">
            <v>307</v>
          </cell>
          <cell r="B318">
            <v>292</v>
          </cell>
          <cell r="C318">
            <v>49400</v>
          </cell>
          <cell r="D318">
            <v>49369</v>
          </cell>
          <cell r="E318">
            <v>36410.83</v>
          </cell>
          <cell r="F318">
            <v>14311.38</v>
          </cell>
          <cell r="G318">
            <v>50722.21</v>
          </cell>
          <cell r="H318">
            <v>650.23</v>
          </cell>
          <cell r="L318">
            <v>1116.22</v>
          </cell>
          <cell r="M318">
            <v>10600</v>
          </cell>
          <cell r="O318">
            <v>0</v>
          </cell>
          <cell r="S318">
            <v>63088.659999999996</v>
          </cell>
          <cell r="T318">
            <v>2976512.0500000021</v>
          </cell>
        </row>
        <row r="319">
          <cell r="A319">
            <v>308</v>
          </cell>
          <cell r="B319">
            <v>293</v>
          </cell>
          <cell r="C319">
            <v>49430</v>
          </cell>
          <cell r="D319">
            <v>49400</v>
          </cell>
          <cell r="E319">
            <v>36583.78</v>
          </cell>
          <cell r="F319">
            <v>14138.43</v>
          </cell>
          <cell r="G319">
            <v>50722.21</v>
          </cell>
          <cell r="H319">
            <v>650.23</v>
          </cell>
          <cell r="L319">
            <v>1116.22</v>
          </cell>
          <cell r="M319">
            <v>10600</v>
          </cell>
          <cell r="O319">
            <v>0</v>
          </cell>
          <cell r="S319">
            <v>63088.659999999996</v>
          </cell>
          <cell r="T319">
            <v>2939928.2700000023</v>
          </cell>
        </row>
        <row r="320">
          <cell r="A320">
            <v>309</v>
          </cell>
          <cell r="B320">
            <v>294</v>
          </cell>
          <cell r="C320">
            <v>49461</v>
          </cell>
          <cell r="D320">
            <v>49430</v>
          </cell>
          <cell r="E320">
            <v>36757.550000000003</v>
          </cell>
          <cell r="F320">
            <v>13964.66</v>
          </cell>
          <cell r="G320">
            <v>50722.210000000006</v>
          </cell>
          <cell r="H320">
            <v>650.23</v>
          </cell>
          <cell r="L320">
            <v>1116.22</v>
          </cell>
          <cell r="M320">
            <v>10600</v>
          </cell>
          <cell r="O320">
            <v>0</v>
          </cell>
          <cell r="S320">
            <v>63088.66</v>
          </cell>
          <cell r="T320">
            <v>2903170.7200000025</v>
          </cell>
        </row>
        <row r="321">
          <cell r="A321">
            <v>310</v>
          </cell>
          <cell r="B321">
            <v>295</v>
          </cell>
          <cell r="C321">
            <v>49491</v>
          </cell>
          <cell r="D321">
            <v>49461</v>
          </cell>
          <cell r="E321">
            <v>36932.15</v>
          </cell>
          <cell r="F321">
            <v>13790.06</v>
          </cell>
          <cell r="G321">
            <v>50722.21</v>
          </cell>
          <cell r="H321">
            <v>650.23</v>
          </cell>
          <cell r="L321">
            <v>1116.22</v>
          </cell>
          <cell r="M321">
            <v>10600</v>
          </cell>
          <cell r="O321">
            <v>0</v>
          </cell>
          <cell r="S321">
            <v>63088.659999999996</v>
          </cell>
          <cell r="T321">
            <v>2866238.5700000026</v>
          </cell>
        </row>
        <row r="322">
          <cell r="A322">
            <v>311</v>
          </cell>
          <cell r="B322">
            <v>296</v>
          </cell>
          <cell r="C322">
            <v>49522</v>
          </cell>
          <cell r="D322">
            <v>49491</v>
          </cell>
          <cell r="E322">
            <v>37107.58</v>
          </cell>
          <cell r="F322">
            <v>13614.63</v>
          </cell>
          <cell r="G322">
            <v>50722.21</v>
          </cell>
          <cell r="H322">
            <v>650.23</v>
          </cell>
          <cell r="L322">
            <v>1116.22</v>
          </cell>
          <cell r="M322">
            <v>10600</v>
          </cell>
          <cell r="O322">
            <v>0</v>
          </cell>
          <cell r="S322">
            <v>63088.659999999996</v>
          </cell>
          <cell r="T322">
            <v>2829130.9900000026</v>
          </cell>
        </row>
        <row r="323">
          <cell r="A323">
            <v>312</v>
          </cell>
          <cell r="B323">
            <v>297</v>
          </cell>
          <cell r="C323">
            <v>49553</v>
          </cell>
          <cell r="D323">
            <v>49522</v>
          </cell>
          <cell r="E323">
            <v>37283.839999999997</v>
          </cell>
          <cell r="F323">
            <v>13438.37</v>
          </cell>
          <cell r="G323">
            <v>50722.21</v>
          </cell>
          <cell r="H323">
            <v>650.23</v>
          </cell>
          <cell r="L323">
            <v>1116.22</v>
          </cell>
          <cell r="M323">
            <v>10600</v>
          </cell>
          <cell r="O323">
            <v>0</v>
          </cell>
          <cell r="S323">
            <v>63088.659999999996</v>
          </cell>
          <cell r="T323">
            <v>2791847.1500000027</v>
          </cell>
        </row>
        <row r="324">
          <cell r="A324">
            <v>313</v>
          </cell>
          <cell r="B324">
            <v>298</v>
          </cell>
          <cell r="C324">
            <v>49583</v>
          </cell>
          <cell r="D324">
            <v>49553</v>
          </cell>
          <cell r="E324">
            <v>37460.94</v>
          </cell>
          <cell r="F324">
            <v>13261.27</v>
          </cell>
          <cell r="G324">
            <v>50722.210000000006</v>
          </cell>
          <cell r="H324">
            <v>650.23</v>
          </cell>
          <cell r="L324">
            <v>1116.22</v>
          </cell>
          <cell r="M324">
            <v>10600</v>
          </cell>
          <cell r="O324">
            <v>0</v>
          </cell>
          <cell r="S324">
            <v>63088.66</v>
          </cell>
          <cell r="T324">
            <v>2754386.2100000028</v>
          </cell>
        </row>
        <row r="325">
          <cell r="A325">
            <v>314</v>
          </cell>
          <cell r="B325">
            <v>299</v>
          </cell>
          <cell r="C325">
            <v>49614</v>
          </cell>
          <cell r="D325">
            <v>49583</v>
          </cell>
          <cell r="E325">
            <v>37638.879999999997</v>
          </cell>
          <cell r="F325">
            <v>13083.33</v>
          </cell>
          <cell r="G325">
            <v>50722.21</v>
          </cell>
          <cell r="H325">
            <v>650.23</v>
          </cell>
          <cell r="L325">
            <v>1116.22</v>
          </cell>
          <cell r="M325">
            <v>10600</v>
          </cell>
          <cell r="O325">
            <v>0</v>
          </cell>
          <cell r="S325">
            <v>63088.659999999996</v>
          </cell>
          <cell r="T325">
            <v>2716747.3300000029</v>
          </cell>
        </row>
        <row r="326">
          <cell r="A326">
            <v>315</v>
          </cell>
          <cell r="B326">
            <v>300</v>
          </cell>
          <cell r="C326">
            <v>49644</v>
          </cell>
          <cell r="D326">
            <v>49614</v>
          </cell>
          <cell r="E326">
            <v>37817.660000000003</v>
          </cell>
          <cell r="F326">
            <v>12904.55</v>
          </cell>
          <cell r="G326">
            <v>50722.210000000006</v>
          </cell>
          <cell r="H326">
            <v>650.23</v>
          </cell>
          <cell r="L326">
            <v>1116.22</v>
          </cell>
          <cell r="M326">
            <v>10600</v>
          </cell>
          <cell r="O326">
            <v>0</v>
          </cell>
          <cell r="S326">
            <v>63088.66</v>
          </cell>
          <cell r="T326">
            <v>2678929.6700000027</v>
          </cell>
        </row>
        <row r="327">
          <cell r="A327">
            <v>316</v>
          </cell>
          <cell r="B327">
            <v>301</v>
          </cell>
          <cell r="C327">
            <v>49675</v>
          </cell>
          <cell r="D327">
            <v>49644</v>
          </cell>
          <cell r="E327">
            <v>38285.920000000006</v>
          </cell>
          <cell r="F327">
            <v>12724.92</v>
          </cell>
          <cell r="G327">
            <v>51010.840000000004</v>
          </cell>
          <cell r="H327">
            <v>558.11</v>
          </cell>
          <cell r="L327">
            <v>919.71</v>
          </cell>
          <cell r="M327">
            <v>10600</v>
          </cell>
          <cell r="O327">
            <v>0</v>
          </cell>
          <cell r="S327">
            <v>63088.66</v>
          </cell>
          <cell r="T327">
            <v>2640643.7500000028</v>
          </cell>
        </row>
        <row r="328">
          <cell r="A328">
            <v>317</v>
          </cell>
          <cell r="B328">
            <v>302</v>
          </cell>
          <cell r="C328">
            <v>49706</v>
          </cell>
          <cell r="D328">
            <v>49675</v>
          </cell>
          <cell r="E328">
            <v>38467.780000000006</v>
          </cell>
          <cell r="F328">
            <v>12543.06</v>
          </cell>
          <cell r="G328">
            <v>51010.840000000004</v>
          </cell>
          <cell r="H328">
            <v>558.11</v>
          </cell>
          <cell r="L328">
            <v>919.71</v>
          </cell>
          <cell r="M328">
            <v>10600</v>
          </cell>
          <cell r="O328">
            <v>0</v>
          </cell>
          <cell r="S328">
            <v>63088.66</v>
          </cell>
          <cell r="T328">
            <v>2602175.970000003</v>
          </cell>
        </row>
        <row r="329">
          <cell r="A329">
            <v>318</v>
          </cell>
          <cell r="B329">
            <v>303</v>
          </cell>
          <cell r="C329">
            <v>49735</v>
          </cell>
          <cell r="D329">
            <v>49706</v>
          </cell>
          <cell r="E329">
            <v>38650.5</v>
          </cell>
          <cell r="F329">
            <v>12360.34</v>
          </cell>
          <cell r="G329">
            <v>51010.84</v>
          </cell>
          <cell r="H329">
            <v>558.11</v>
          </cell>
          <cell r="L329">
            <v>919.71</v>
          </cell>
          <cell r="M329">
            <v>10600</v>
          </cell>
          <cell r="O329">
            <v>0</v>
          </cell>
          <cell r="S329">
            <v>63088.659999999996</v>
          </cell>
          <cell r="T329">
            <v>2563525.470000003</v>
          </cell>
        </row>
        <row r="330">
          <cell r="A330">
            <v>319</v>
          </cell>
          <cell r="B330">
            <v>304</v>
          </cell>
          <cell r="C330">
            <v>49766</v>
          </cell>
          <cell r="D330">
            <v>49735</v>
          </cell>
          <cell r="E330">
            <v>38834.090000000004</v>
          </cell>
          <cell r="F330">
            <v>12176.75</v>
          </cell>
          <cell r="G330">
            <v>51010.840000000004</v>
          </cell>
          <cell r="H330">
            <v>558.11</v>
          </cell>
          <cell r="L330">
            <v>919.71</v>
          </cell>
          <cell r="M330">
            <v>10600</v>
          </cell>
          <cell r="O330">
            <v>0</v>
          </cell>
          <cell r="S330">
            <v>63088.66</v>
          </cell>
          <cell r="T330">
            <v>2524691.3800000031</v>
          </cell>
        </row>
        <row r="331">
          <cell r="A331">
            <v>320</v>
          </cell>
          <cell r="B331">
            <v>305</v>
          </cell>
          <cell r="C331">
            <v>49796</v>
          </cell>
          <cell r="D331">
            <v>49766</v>
          </cell>
          <cell r="E331">
            <v>39018.560000000005</v>
          </cell>
          <cell r="F331">
            <v>11992.28</v>
          </cell>
          <cell r="G331">
            <v>51010.840000000004</v>
          </cell>
          <cell r="H331">
            <v>558.11</v>
          </cell>
          <cell r="L331">
            <v>919.71</v>
          </cell>
          <cell r="M331">
            <v>10600</v>
          </cell>
          <cell r="O331">
            <v>0</v>
          </cell>
          <cell r="S331">
            <v>63088.66</v>
          </cell>
          <cell r="T331">
            <v>2485672.8200000031</v>
          </cell>
        </row>
        <row r="332">
          <cell r="A332">
            <v>321</v>
          </cell>
          <cell r="B332">
            <v>306</v>
          </cell>
          <cell r="C332">
            <v>49827</v>
          </cell>
          <cell r="D332">
            <v>49796</v>
          </cell>
          <cell r="E332">
            <v>39203.89</v>
          </cell>
          <cell r="F332">
            <v>11806.95</v>
          </cell>
          <cell r="G332">
            <v>51010.84</v>
          </cell>
          <cell r="H332">
            <v>558.11</v>
          </cell>
          <cell r="L332">
            <v>919.71</v>
          </cell>
          <cell r="M332">
            <v>10600</v>
          </cell>
          <cell r="O332">
            <v>0</v>
          </cell>
          <cell r="S332">
            <v>63088.659999999996</v>
          </cell>
          <cell r="T332">
            <v>2446468.930000003</v>
          </cell>
        </row>
        <row r="333">
          <cell r="A333">
            <v>322</v>
          </cell>
          <cell r="B333">
            <v>307</v>
          </cell>
          <cell r="C333">
            <v>49857</v>
          </cell>
          <cell r="D333">
            <v>49827</v>
          </cell>
          <cell r="E333">
            <v>39390.11</v>
          </cell>
          <cell r="F333">
            <v>11620.73</v>
          </cell>
          <cell r="G333">
            <v>51010.84</v>
          </cell>
          <cell r="H333">
            <v>558.11</v>
          </cell>
          <cell r="L333">
            <v>919.71</v>
          </cell>
          <cell r="M333">
            <v>10600</v>
          </cell>
          <cell r="O333">
            <v>0</v>
          </cell>
          <cell r="S333">
            <v>63088.659999999996</v>
          </cell>
          <cell r="T333">
            <v>2407078.8200000031</v>
          </cell>
        </row>
        <row r="334">
          <cell r="A334">
            <v>323</v>
          </cell>
          <cell r="B334">
            <v>308</v>
          </cell>
          <cell r="C334">
            <v>49888</v>
          </cell>
          <cell r="D334">
            <v>49857</v>
          </cell>
          <cell r="E334">
            <v>39577.22</v>
          </cell>
          <cell r="F334">
            <v>11433.62</v>
          </cell>
          <cell r="G334">
            <v>51010.840000000004</v>
          </cell>
          <cell r="H334">
            <v>558.11</v>
          </cell>
          <cell r="L334">
            <v>919.71</v>
          </cell>
          <cell r="M334">
            <v>10600</v>
          </cell>
          <cell r="O334">
            <v>0</v>
          </cell>
          <cell r="S334">
            <v>63088.66</v>
          </cell>
          <cell r="T334">
            <v>2367501.6000000029</v>
          </cell>
        </row>
        <row r="335">
          <cell r="A335">
            <v>324</v>
          </cell>
          <cell r="B335">
            <v>309</v>
          </cell>
          <cell r="C335">
            <v>49919</v>
          </cell>
          <cell r="D335">
            <v>49888</v>
          </cell>
          <cell r="E335">
            <v>39765.210000000006</v>
          </cell>
          <cell r="F335">
            <v>11245.63</v>
          </cell>
          <cell r="G335">
            <v>51010.840000000004</v>
          </cell>
          <cell r="H335">
            <v>558.11</v>
          </cell>
          <cell r="L335">
            <v>919.71</v>
          </cell>
          <cell r="M335">
            <v>10600</v>
          </cell>
          <cell r="O335">
            <v>0</v>
          </cell>
          <cell r="S335">
            <v>63088.66</v>
          </cell>
          <cell r="T335">
            <v>2327736.3900000029</v>
          </cell>
        </row>
        <row r="336">
          <cell r="A336">
            <v>325</v>
          </cell>
          <cell r="B336">
            <v>310</v>
          </cell>
          <cell r="C336">
            <v>49949</v>
          </cell>
          <cell r="D336">
            <v>49919</v>
          </cell>
          <cell r="E336">
            <v>39954.090000000004</v>
          </cell>
          <cell r="F336">
            <v>11056.75</v>
          </cell>
          <cell r="G336">
            <v>51010.840000000004</v>
          </cell>
          <cell r="H336">
            <v>558.11</v>
          </cell>
          <cell r="L336">
            <v>919.71</v>
          </cell>
          <cell r="M336">
            <v>10600</v>
          </cell>
          <cell r="O336">
            <v>0</v>
          </cell>
          <cell r="S336">
            <v>63088.66</v>
          </cell>
          <cell r="T336">
            <v>2287782.3000000031</v>
          </cell>
        </row>
        <row r="337">
          <cell r="A337">
            <v>326</v>
          </cell>
          <cell r="B337">
            <v>311</v>
          </cell>
          <cell r="C337">
            <v>49980</v>
          </cell>
          <cell r="D337">
            <v>49949</v>
          </cell>
          <cell r="E337">
            <v>40143.870000000003</v>
          </cell>
          <cell r="F337">
            <v>10866.97</v>
          </cell>
          <cell r="G337">
            <v>51010.840000000004</v>
          </cell>
          <cell r="H337">
            <v>558.11</v>
          </cell>
          <cell r="L337">
            <v>919.71</v>
          </cell>
          <cell r="M337">
            <v>10600</v>
          </cell>
          <cell r="O337">
            <v>0</v>
          </cell>
          <cell r="S337">
            <v>63088.66</v>
          </cell>
          <cell r="T337">
            <v>2247638.430000003</v>
          </cell>
        </row>
        <row r="338">
          <cell r="A338">
            <v>327</v>
          </cell>
          <cell r="B338">
            <v>312</v>
          </cell>
          <cell r="C338">
            <v>50010</v>
          </cell>
          <cell r="D338">
            <v>49980</v>
          </cell>
          <cell r="E338">
            <v>40334.560000000005</v>
          </cell>
          <cell r="F338">
            <v>10676.28</v>
          </cell>
          <cell r="G338">
            <v>51010.840000000004</v>
          </cell>
          <cell r="H338">
            <v>558.11</v>
          </cell>
          <cell r="L338">
            <v>919.71</v>
          </cell>
          <cell r="M338">
            <v>10600</v>
          </cell>
          <cell r="O338">
            <v>0</v>
          </cell>
          <cell r="S338">
            <v>63088.66</v>
          </cell>
          <cell r="T338">
            <v>2207303.8700000029</v>
          </cell>
        </row>
        <row r="339">
          <cell r="A339">
            <v>328</v>
          </cell>
          <cell r="B339">
            <v>313</v>
          </cell>
          <cell r="C339">
            <v>50041</v>
          </cell>
          <cell r="D339">
            <v>50010</v>
          </cell>
          <cell r="E339">
            <v>40834</v>
          </cell>
          <cell r="F339">
            <v>10484.69</v>
          </cell>
          <cell r="G339">
            <v>51318.69</v>
          </cell>
          <cell r="H339">
            <v>459.85</v>
          </cell>
          <cell r="L339">
            <v>710.12</v>
          </cell>
          <cell r="M339">
            <v>10600</v>
          </cell>
          <cell r="O339">
            <v>0</v>
          </cell>
          <cell r="S339">
            <v>63088.66</v>
          </cell>
          <cell r="T339">
            <v>2166469.8700000029</v>
          </cell>
        </row>
        <row r="340">
          <cell r="A340">
            <v>329</v>
          </cell>
          <cell r="B340">
            <v>314</v>
          </cell>
          <cell r="C340">
            <v>50072</v>
          </cell>
          <cell r="D340">
            <v>50041</v>
          </cell>
          <cell r="E340">
            <v>41027.960000000006</v>
          </cell>
          <cell r="F340">
            <v>10290.73</v>
          </cell>
          <cell r="G340">
            <v>51318.69</v>
          </cell>
          <cell r="H340">
            <v>459.85</v>
          </cell>
          <cell r="L340">
            <v>710.12</v>
          </cell>
          <cell r="M340">
            <v>10600</v>
          </cell>
          <cell r="O340">
            <v>0</v>
          </cell>
          <cell r="S340">
            <v>63088.66</v>
          </cell>
          <cell r="T340">
            <v>2125441.9100000029</v>
          </cell>
        </row>
        <row r="341">
          <cell r="A341">
            <v>330</v>
          </cell>
          <cell r="B341">
            <v>315</v>
          </cell>
          <cell r="C341">
            <v>50100</v>
          </cell>
          <cell r="D341">
            <v>50072</v>
          </cell>
          <cell r="E341">
            <v>41222.840000000004</v>
          </cell>
          <cell r="F341">
            <v>10095.85</v>
          </cell>
          <cell r="G341">
            <v>51318.69</v>
          </cell>
          <cell r="H341">
            <v>459.85</v>
          </cell>
          <cell r="L341">
            <v>710.12</v>
          </cell>
          <cell r="M341">
            <v>10600</v>
          </cell>
          <cell r="O341">
            <v>0</v>
          </cell>
          <cell r="S341">
            <v>63088.66</v>
          </cell>
          <cell r="T341">
            <v>2084219.0700000029</v>
          </cell>
        </row>
        <row r="342">
          <cell r="A342">
            <v>331</v>
          </cell>
          <cell r="B342">
            <v>316</v>
          </cell>
          <cell r="C342">
            <v>50131</v>
          </cell>
          <cell r="D342">
            <v>50100</v>
          </cell>
          <cell r="E342">
            <v>41418.65</v>
          </cell>
          <cell r="F342">
            <v>9900.0400000000009</v>
          </cell>
          <cell r="G342">
            <v>51318.69</v>
          </cell>
          <cell r="H342">
            <v>459.85</v>
          </cell>
          <cell r="L342">
            <v>710.12</v>
          </cell>
          <cell r="M342">
            <v>10600</v>
          </cell>
          <cell r="O342">
            <v>0</v>
          </cell>
          <cell r="S342">
            <v>63088.66</v>
          </cell>
          <cell r="T342">
            <v>2042800.420000003</v>
          </cell>
        </row>
        <row r="343">
          <cell r="A343">
            <v>332</v>
          </cell>
          <cell r="B343">
            <v>317</v>
          </cell>
          <cell r="C343">
            <v>50161</v>
          </cell>
          <cell r="D343">
            <v>50131</v>
          </cell>
          <cell r="E343">
            <v>41615.39</v>
          </cell>
          <cell r="F343">
            <v>9703.2999999999993</v>
          </cell>
          <cell r="G343">
            <v>51318.69</v>
          </cell>
          <cell r="H343">
            <v>459.85</v>
          </cell>
          <cell r="L343">
            <v>710.12</v>
          </cell>
          <cell r="M343">
            <v>10600</v>
          </cell>
          <cell r="O343">
            <v>0</v>
          </cell>
          <cell r="S343">
            <v>63088.66</v>
          </cell>
          <cell r="T343">
            <v>2001185.0300000031</v>
          </cell>
        </row>
        <row r="344">
          <cell r="A344">
            <v>333</v>
          </cell>
          <cell r="B344">
            <v>318</v>
          </cell>
          <cell r="C344">
            <v>50192</v>
          </cell>
          <cell r="D344">
            <v>50161</v>
          </cell>
          <cell r="E344">
            <v>41813.060000000005</v>
          </cell>
          <cell r="F344">
            <v>9505.6299999999992</v>
          </cell>
          <cell r="G344">
            <v>51318.69</v>
          </cell>
          <cell r="H344">
            <v>459.85</v>
          </cell>
          <cell r="L344">
            <v>710.12</v>
          </cell>
          <cell r="M344">
            <v>10600</v>
          </cell>
          <cell r="O344">
            <v>0</v>
          </cell>
          <cell r="S344">
            <v>63088.66</v>
          </cell>
          <cell r="T344">
            <v>1959371.970000003</v>
          </cell>
        </row>
        <row r="345">
          <cell r="A345">
            <v>334</v>
          </cell>
          <cell r="B345">
            <v>319</v>
          </cell>
          <cell r="C345">
            <v>50222</v>
          </cell>
          <cell r="D345">
            <v>50192</v>
          </cell>
          <cell r="E345">
            <v>42011.67</v>
          </cell>
          <cell r="F345">
            <v>9307.02</v>
          </cell>
          <cell r="G345">
            <v>51318.69</v>
          </cell>
          <cell r="H345">
            <v>459.85</v>
          </cell>
          <cell r="L345">
            <v>710.12</v>
          </cell>
          <cell r="M345">
            <v>10600</v>
          </cell>
          <cell r="O345">
            <v>0</v>
          </cell>
          <cell r="S345">
            <v>63088.66</v>
          </cell>
          <cell r="T345">
            <v>1917360.3000000031</v>
          </cell>
        </row>
        <row r="346">
          <cell r="A346">
            <v>335</v>
          </cell>
          <cell r="B346">
            <v>320</v>
          </cell>
          <cell r="C346">
            <v>50253</v>
          </cell>
          <cell r="D346">
            <v>50222</v>
          </cell>
          <cell r="E346">
            <v>42211.23</v>
          </cell>
          <cell r="F346">
            <v>9107.4599999999991</v>
          </cell>
          <cell r="G346">
            <v>51318.69</v>
          </cell>
          <cell r="H346">
            <v>459.85</v>
          </cell>
          <cell r="L346">
            <v>710.12</v>
          </cell>
          <cell r="M346">
            <v>10600</v>
          </cell>
          <cell r="O346">
            <v>0</v>
          </cell>
          <cell r="S346">
            <v>63088.66</v>
          </cell>
          <cell r="T346">
            <v>1875149.0700000031</v>
          </cell>
        </row>
        <row r="347">
          <cell r="A347">
            <v>336</v>
          </cell>
          <cell r="B347">
            <v>321</v>
          </cell>
          <cell r="C347">
            <v>50284</v>
          </cell>
          <cell r="D347">
            <v>50253</v>
          </cell>
          <cell r="E347">
            <v>42411.73</v>
          </cell>
          <cell r="F347">
            <v>8906.9599999999991</v>
          </cell>
          <cell r="G347">
            <v>51318.69</v>
          </cell>
          <cell r="H347">
            <v>459.85</v>
          </cell>
          <cell r="L347">
            <v>710.12</v>
          </cell>
          <cell r="M347">
            <v>10600</v>
          </cell>
          <cell r="O347">
            <v>0</v>
          </cell>
          <cell r="S347">
            <v>63088.66</v>
          </cell>
          <cell r="T347">
            <v>1832737.3400000031</v>
          </cell>
        </row>
        <row r="348">
          <cell r="A348">
            <v>337</v>
          </cell>
          <cell r="B348">
            <v>322</v>
          </cell>
          <cell r="C348">
            <v>50314</v>
          </cell>
          <cell r="D348">
            <v>50284</v>
          </cell>
          <cell r="E348">
            <v>42613.19</v>
          </cell>
          <cell r="F348">
            <v>8705.5</v>
          </cell>
          <cell r="G348">
            <v>51318.69</v>
          </cell>
          <cell r="H348">
            <v>459.85</v>
          </cell>
          <cell r="L348">
            <v>710.12</v>
          </cell>
          <cell r="M348">
            <v>10600</v>
          </cell>
          <cell r="O348">
            <v>0</v>
          </cell>
          <cell r="S348">
            <v>63088.66</v>
          </cell>
          <cell r="T348">
            <v>1790124.1500000032</v>
          </cell>
        </row>
        <row r="349">
          <cell r="A349">
            <v>338</v>
          </cell>
          <cell r="B349">
            <v>323</v>
          </cell>
          <cell r="C349">
            <v>50345</v>
          </cell>
          <cell r="D349">
            <v>50314</v>
          </cell>
          <cell r="E349">
            <v>42815.600000000006</v>
          </cell>
          <cell r="F349">
            <v>8503.09</v>
          </cell>
          <cell r="G349">
            <v>51318.69</v>
          </cell>
          <cell r="H349">
            <v>459.85</v>
          </cell>
          <cell r="L349">
            <v>710.12</v>
          </cell>
          <cell r="M349">
            <v>10600</v>
          </cell>
          <cell r="O349">
            <v>0</v>
          </cell>
          <cell r="S349">
            <v>63088.66</v>
          </cell>
          <cell r="T349">
            <v>1747308.5500000031</v>
          </cell>
        </row>
        <row r="350">
          <cell r="A350">
            <v>339</v>
          </cell>
          <cell r="B350">
            <v>324</v>
          </cell>
          <cell r="C350">
            <v>50375</v>
          </cell>
          <cell r="D350">
            <v>50345</v>
          </cell>
          <cell r="E350">
            <v>43018.97</v>
          </cell>
          <cell r="F350">
            <v>8299.7199999999993</v>
          </cell>
          <cell r="G350">
            <v>51318.69</v>
          </cell>
          <cell r="H350">
            <v>459.85</v>
          </cell>
          <cell r="L350">
            <v>710.12</v>
          </cell>
          <cell r="M350">
            <v>10600</v>
          </cell>
          <cell r="O350">
            <v>0</v>
          </cell>
          <cell r="S350">
            <v>63088.66</v>
          </cell>
          <cell r="T350">
            <v>1704289.5800000031</v>
          </cell>
        </row>
        <row r="351">
          <cell r="A351">
            <v>340</v>
          </cell>
          <cell r="B351">
            <v>325</v>
          </cell>
          <cell r="C351">
            <v>50406</v>
          </cell>
          <cell r="D351">
            <v>50375</v>
          </cell>
          <cell r="E351">
            <v>43551.640000000007</v>
          </cell>
          <cell r="F351">
            <v>8095.38</v>
          </cell>
          <cell r="G351">
            <v>51647.020000000004</v>
          </cell>
          <cell r="H351">
            <v>355.06</v>
          </cell>
          <cell r="L351">
            <v>486.58</v>
          </cell>
          <cell r="M351">
            <v>10600</v>
          </cell>
          <cell r="O351">
            <v>0</v>
          </cell>
          <cell r="S351">
            <v>63088.66</v>
          </cell>
          <cell r="T351">
            <v>1660737.9400000032</v>
          </cell>
        </row>
        <row r="352">
          <cell r="A352">
            <v>341</v>
          </cell>
          <cell r="B352">
            <v>326</v>
          </cell>
          <cell r="C352">
            <v>50437</v>
          </cell>
          <cell r="D352">
            <v>50406</v>
          </cell>
          <cell r="E352">
            <v>43758.51</v>
          </cell>
          <cell r="F352">
            <v>7888.51</v>
          </cell>
          <cell r="G352">
            <v>51647.020000000004</v>
          </cell>
          <cell r="H352">
            <v>355.06</v>
          </cell>
          <cell r="L352">
            <v>486.58</v>
          </cell>
          <cell r="M352">
            <v>10600</v>
          </cell>
          <cell r="O352">
            <v>0</v>
          </cell>
          <cell r="S352">
            <v>63088.66</v>
          </cell>
          <cell r="T352">
            <v>1616979.4300000032</v>
          </cell>
        </row>
        <row r="353">
          <cell r="A353">
            <v>342</v>
          </cell>
          <cell r="B353">
            <v>327</v>
          </cell>
          <cell r="C353">
            <v>50465</v>
          </cell>
          <cell r="D353">
            <v>50437</v>
          </cell>
          <cell r="E353">
            <v>43966.37</v>
          </cell>
          <cell r="F353">
            <v>7680.65</v>
          </cell>
          <cell r="G353">
            <v>51647.020000000004</v>
          </cell>
          <cell r="H353">
            <v>355.06</v>
          </cell>
          <cell r="L353">
            <v>486.58</v>
          </cell>
          <cell r="M353">
            <v>10600</v>
          </cell>
          <cell r="O353">
            <v>0</v>
          </cell>
          <cell r="S353">
            <v>63088.66</v>
          </cell>
          <cell r="T353">
            <v>1573013.0600000031</v>
          </cell>
        </row>
        <row r="354">
          <cell r="A354">
            <v>343</v>
          </cell>
          <cell r="B354">
            <v>328</v>
          </cell>
          <cell r="C354">
            <v>50496</v>
          </cell>
          <cell r="D354">
            <v>50465</v>
          </cell>
          <cell r="E354">
            <v>44175.210000000006</v>
          </cell>
          <cell r="F354">
            <v>7471.81</v>
          </cell>
          <cell r="G354">
            <v>51647.020000000004</v>
          </cell>
          <cell r="H354">
            <v>355.06</v>
          </cell>
          <cell r="L354">
            <v>486.58</v>
          </cell>
          <cell r="M354">
            <v>10600</v>
          </cell>
          <cell r="O354">
            <v>0</v>
          </cell>
          <cell r="S354">
            <v>63088.66</v>
          </cell>
          <cell r="T354">
            <v>1528837.8500000031</v>
          </cell>
        </row>
        <row r="355">
          <cell r="A355">
            <v>344</v>
          </cell>
          <cell r="B355">
            <v>329</v>
          </cell>
          <cell r="C355">
            <v>50526</v>
          </cell>
          <cell r="D355">
            <v>50496</v>
          </cell>
          <cell r="E355">
            <v>44385.040000000008</v>
          </cell>
          <cell r="F355">
            <v>7261.98</v>
          </cell>
          <cell r="G355">
            <v>51647.020000000004</v>
          </cell>
          <cell r="H355">
            <v>355.06</v>
          </cell>
          <cell r="L355">
            <v>486.58</v>
          </cell>
          <cell r="M355">
            <v>10600</v>
          </cell>
          <cell r="O355">
            <v>0</v>
          </cell>
          <cell r="S355">
            <v>63088.66</v>
          </cell>
          <cell r="T355">
            <v>1484452.8100000031</v>
          </cell>
        </row>
        <row r="356">
          <cell r="A356">
            <v>345</v>
          </cell>
          <cell r="B356">
            <v>330</v>
          </cell>
          <cell r="C356">
            <v>50557</v>
          </cell>
          <cell r="D356">
            <v>50526</v>
          </cell>
          <cell r="E356">
            <v>44595.87</v>
          </cell>
          <cell r="F356">
            <v>7051.15</v>
          </cell>
          <cell r="G356">
            <v>51647.020000000004</v>
          </cell>
          <cell r="H356">
            <v>355.06</v>
          </cell>
          <cell r="L356">
            <v>486.58</v>
          </cell>
          <cell r="M356">
            <v>10600</v>
          </cell>
          <cell r="O356">
            <v>0</v>
          </cell>
          <cell r="S356">
            <v>63088.66</v>
          </cell>
          <cell r="T356">
            <v>1439856.940000003</v>
          </cell>
        </row>
        <row r="357">
          <cell r="A357">
            <v>346</v>
          </cell>
          <cell r="B357">
            <v>331</v>
          </cell>
          <cell r="C357">
            <v>50587</v>
          </cell>
          <cell r="D357">
            <v>50557</v>
          </cell>
          <cell r="E357">
            <v>44807.700000000004</v>
          </cell>
          <cell r="F357">
            <v>6839.32</v>
          </cell>
          <cell r="G357">
            <v>51647.020000000004</v>
          </cell>
          <cell r="H357">
            <v>355.06</v>
          </cell>
          <cell r="L357">
            <v>486.58</v>
          </cell>
          <cell r="M357">
            <v>10600</v>
          </cell>
          <cell r="O357">
            <v>0</v>
          </cell>
          <cell r="S357">
            <v>63088.66</v>
          </cell>
          <cell r="T357">
            <v>1395049.240000003</v>
          </cell>
        </row>
        <row r="358">
          <cell r="A358">
            <v>347</v>
          </cell>
          <cell r="B358">
            <v>332</v>
          </cell>
          <cell r="C358">
            <v>50618</v>
          </cell>
          <cell r="D358">
            <v>50587</v>
          </cell>
          <cell r="E358">
            <v>45020.540000000008</v>
          </cell>
          <cell r="F358">
            <v>6626.48</v>
          </cell>
          <cell r="G358">
            <v>51647.020000000004</v>
          </cell>
          <cell r="H358">
            <v>355.06</v>
          </cell>
          <cell r="L358">
            <v>486.58</v>
          </cell>
          <cell r="M358">
            <v>10600</v>
          </cell>
          <cell r="O358">
            <v>0</v>
          </cell>
          <cell r="S358">
            <v>63088.66</v>
          </cell>
          <cell r="T358">
            <v>1350028.700000003</v>
          </cell>
        </row>
        <row r="359">
          <cell r="A359">
            <v>348</v>
          </cell>
          <cell r="B359">
            <v>333</v>
          </cell>
          <cell r="C359">
            <v>50649</v>
          </cell>
          <cell r="D359">
            <v>50618</v>
          </cell>
          <cell r="E359">
            <v>45234.380000000005</v>
          </cell>
          <cell r="F359">
            <v>6412.64</v>
          </cell>
          <cell r="G359">
            <v>51647.020000000004</v>
          </cell>
          <cell r="H359">
            <v>355.06</v>
          </cell>
          <cell r="L359">
            <v>486.58</v>
          </cell>
          <cell r="M359">
            <v>10600</v>
          </cell>
          <cell r="O359">
            <v>0</v>
          </cell>
          <cell r="S359">
            <v>63088.66</v>
          </cell>
          <cell r="T359">
            <v>1304794.3200000031</v>
          </cell>
        </row>
        <row r="360">
          <cell r="A360">
            <v>349</v>
          </cell>
          <cell r="B360">
            <v>334</v>
          </cell>
          <cell r="C360">
            <v>50679</v>
          </cell>
          <cell r="D360">
            <v>50649</v>
          </cell>
          <cell r="E360">
            <v>45449.25</v>
          </cell>
          <cell r="F360">
            <v>6197.77</v>
          </cell>
          <cell r="G360">
            <v>51647.020000000004</v>
          </cell>
          <cell r="H360">
            <v>355.06</v>
          </cell>
          <cell r="L360">
            <v>486.58</v>
          </cell>
          <cell r="M360">
            <v>10600</v>
          </cell>
          <cell r="O360">
            <v>0</v>
          </cell>
          <cell r="S360">
            <v>63088.66</v>
          </cell>
          <cell r="T360">
            <v>1259345.0700000031</v>
          </cell>
        </row>
        <row r="361">
          <cell r="A361">
            <v>350</v>
          </cell>
          <cell r="B361">
            <v>335</v>
          </cell>
          <cell r="C361">
            <v>50710</v>
          </cell>
          <cell r="D361">
            <v>50679</v>
          </cell>
          <cell r="E361">
            <v>45665.130000000005</v>
          </cell>
          <cell r="F361">
            <v>5981.89</v>
          </cell>
          <cell r="G361">
            <v>51647.020000000004</v>
          </cell>
          <cell r="H361">
            <v>355.06</v>
          </cell>
          <cell r="L361">
            <v>486.58</v>
          </cell>
          <cell r="M361">
            <v>10600</v>
          </cell>
          <cell r="O361">
            <v>0</v>
          </cell>
          <cell r="S361">
            <v>63088.66</v>
          </cell>
          <cell r="T361">
            <v>1213679.9400000032</v>
          </cell>
        </row>
        <row r="362">
          <cell r="A362">
            <v>351</v>
          </cell>
          <cell r="B362">
            <v>336</v>
          </cell>
          <cell r="C362">
            <v>50740</v>
          </cell>
          <cell r="D362">
            <v>50710</v>
          </cell>
          <cell r="E362">
            <v>45882.040000000008</v>
          </cell>
          <cell r="F362">
            <v>5764.98</v>
          </cell>
          <cell r="G362">
            <v>51647.020000000004</v>
          </cell>
          <cell r="H362">
            <v>355.06</v>
          </cell>
          <cell r="L362">
            <v>486.58</v>
          </cell>
          <cell r="M362">
            <v>10600</v>
          </cell>
          <cell r="O362">
            <v>0</v>
          </cell>
          <cell r="S362">
            <v>63088.66</v>
          </cell>
          <cell r="T362">
            <v>1167797.9000000032</v>
          </cell>
        </row>
        <row r="363">
          <cell r="A363">
            <v>352</v>
          </cell>
          <cell r="B363">
            <v>337</v>
          </cell>
          <cell r="C363">
            <v>50771</v>
          </cell>
          <cell r="D363">
            <v>50740</v>
          </cell>
          <cell r="E363">
            <v>46450.16</v>
          </cell>
          <cell r="F363">
            <v>5547.04</v>
          </cell>
          <cell r="G363">
            <v>51997.200000000004</v>
          </cell>
          <cell r="H363">
            <v>243.29</v>
          </cell>
          <cell r="L363">
            <v>248.17</v>
          </cell>
          <cell r="M363">
            <v>10600</v>
          </cell>
          <cell r="O363">
            <v>0</v>
          </cell>
          <cell r="S363">
            <v>63088.66</v>
          </cell>
          <cell r="T363">
            <v>1121347.7400000033</v>
          </cell>
        </row>
        <row r="364">
          <cell r="A364">
            <v>353</v>
          </cell>
          <cell r="B364">
            <v>338</v>
          </cell>
          <cell r="C364">
            <v>50802</v>
          </cell>
          <cell r="D364">
            <v>50771</v>
          </cell>
          <cell r="E364">
            <v>46670.8</v>
          </cell>
          <cell r="F364">
            <v>5326.4</v>
          </cell>
          <cell r="G364">
            <v>51997.200000000004</v>
          </cell>
          <cell r="H364">
            <v>243.29</v>
          </cell>
          <cell r="L364">
            <v>248.17</v>
          </cell>
          <cell r="M364">
            <v>10600</v>
          </cell>
          <cell r="O364">
            <v>0</v>
          </cell>
          <cell r="S364">
            <v>63088.66</v>
          </cell>
          <cell r="T364">
            <v>1074676.9400000032</v>
          </cell>
        </row>
        <row r="365">
          <cell r="A365">
            <v>354</v>
          </cell>
          <cell r="B365">
            <v>339</v>
          </cell>
          <cell r="C365">
            <v>50830</v>
          </cell>
          <cell r="D365">
            <v>50802</v>
          </cell>
          <cell r="E365">
            <v>46892.480000000003</v>
          </cell>
          <cell r="F365">
            <v>5104.72</v>
          </cell>
          <cell r="G365">
            <v>51997.200000000004</v>
          </cell>
          <cell r="H365">
            <v>243.29</v>
          </cell>
          <cell r="L365">
            <v>248.17</v>
          </cell>
          <cell r="M365">
            <v>10600</v>
          </cell>
          <cell r="O365">
            <v>0</v>
          </cell>
          <cell r="S365">
            <v>63088.66</v>
          </cell>
          <cell r="T365">
            <v>1027784.4600000032</v>
          </cell>
        </row>
        <row r="366">
          <cell r="A366">
            <v>355</v>
          </cell>
          <cell r="B366">
            <v>340</v>
          </cell>
          <cell r="C366">
            <v>50861</v>
          </cell>
          <cell r="D366">
            <v>50830</v>
          </cell>
          <cell r="E366">
            <v>47115.22</v>
          </cell>
          <cell r="F366">
            <v>4881.9799999999996</v>
          </cell>
          <cell r="G366">
            <v>51997.2</v>
          </cell>
          <cell r="H366">
            <v>243.29</v>
          </cell>
          <cell r="L366">
            <v>248.17</v>
          </cell>
          <cell r="M366">
            <v>10600</v>
          </cell>
          <cell r="O366">
            <v>0</v>
          </cell>
          <cell r="S366">
            <v>63088.659999999996</v>
          </cell>
          <cell r="T366">
            <v>980669.24000000325</v>
          </cell>
        </row>
        <row r="367">
          <cell r="A367">
            <v>356</v>
          </cell>
          <cell r="B367">
            <v>341</v>
          </cell>
          <cell r="C367">
            <v>50891</v>
          </cell>
          <cell r="D367">
            <v>50861</v>
          </cell>
          <cell r="E367">
            <v>47339.020000000004</v>
          </cell>
          <cell r="F367">
            <v>4658.18</v>
          </cell>
          <cell r="G367">
            <v>51997.200000000004</v>
          </cell>
          <cell r="H367">
            <v>243.29</v>
          </cell>
          <cell r="L367">
            <v>248.17</v>
          </cell>
          <cell r="M367">
            <v>10600</v>
          </cell>
          <cell r="O367">
            <v>0</v>
          </cell>
          <cell r="S367">
            <v>63088.66</v>
          </cell>
          <cell r="T367">
            <v>933330.22000000323</v>
          </cell>
        </row>
        <row r="368">
          <cell r="A368">
            <v>357</v>
          </cell>
          <cell r="B368">
            <v>342</v>
          </cell>
          <cell r="C368">
            <v>50922</v>
          </cell>
          <cell r="D368">
            <v>50891</v>
          </cell>
          <cell r="E368">
            <v>47563.880000000005</v>
          </cell>
          <cell r="F368">
            <v>4433.32</v>
          </cell>
          <cell r="G368">
            <v>51997.200000000004</v>
          </cell>
          <cell r="H368">
            <v>243.29</v>
          </cell>
          <cell r="L368">
            <v>248.17</v>
          </cell>
          <cell r="M368">
            <v>10600</v>
          </cell>
          <cell r="O368">
            <v>0</v>
          </cell>
          <cell r="S368">
            <v>63088.66</v>
          </cell>
          <cell r="T368">
            <v>885766.34000000323</v>
          </cell>
        </row>
        <row r="369">
          <cell r="A369">
            <v>358</v>
          </cell>
          <cell r="B369">
            <v>343</v>
          </cell>
          <cell r="C369">
            <v>50952</v>
          </cell>
          <cell r="D369">
            <v>50922</v>
          </cell>
          <cell r="E369">
            <v>47789.810000000005</v>
          </cell>
          <cell r="F369">
            <v>4207.3900000000003</v>
          </cell>
          <cell r="G369">
            <v>51997.200000000004</v>
          </cell>
          <cell r="H369">
            <v>243.29</v>
          </cell>
          <cell r="L369">
            <v>248.17</v>
          </cell>
          <cell r="M369">
            <v>10600</v>
          </cell>
          <cell r="O369">
            <v>0</v>
          </cell>
          <cell r="S369">
            <v>63088.66</v>
          </cell>
          <cell r="T369">
            <v>837976.53000000317</v>
          </cell>
        </row>
        <row r="370">
          <cell r="A370">
            <v>359</v>
          </cell>
          <cell r="B370">
            <v>344</v>
          </cell>
          <cell r="C370">
            <v>50983</v>
          </cell>
          <cell r="D370">
            <v>50952</v>
          </cell>
          <cell r="E370">
            <v>48016.810000000005</v>
          </cell>
          <cell r="F370">
            <v>3980.39</v>
          </cell>
          <cell r="G370">
            <v>51997.200000000004</v>
          </cell>
          <cell r="H370">
            <v>243.29</v>
          </cell>
          <cell r="L370">
            <v>248.17</v>
          </cell>
          <cell r="M370">
            <v>10600</v>
          </cell>
          <cell r="O370">
            <v>0</v>
          </cell>
          <cell r="S370">
            <v>63088.66</v>
          </cell>
          <cell r="T370">
            <v>789959.72000000312</v>
          </cell>
        </row>
        <row r="371">
          <cell r="A371">
            <v>360</v>
          </cell>
          <cell r="B371">
            <v>345</v>
          </cell>
          <cell r="C371">
            <v>51014</v>
          </cell>
          <cell r="D371">
            <v>50983</v>
          </cell>
          <cell r="E371">
            <v>48244.890000000007</v>
          </cell>
          <cell r="F371">
            <v>3752.31</v>
          </cell>
          <cell r="G371">
            <v>51997.200000000004</v>
          </cell>
          <cell r="H371">
            <v>243.29</v>
          </cell>
          <cell r="L371">
            <v>248.17</v>
          </cell>
          <cell r="M371">
            <v>10600</v>
          </cell>
          <cell r="O371">
            <v>0</v>
          </cell>
          <cell r="S371">
            <v>63088.66</v>
          </cell>
          <cell r="T371">
            <v>741714.8300000031</v>
          </cell>
        </row>
        <row r="372">
          <cell r="A372">
            <v>361</v>
          </cell>
          <cell r="B372">
            <v>346</v>
          </cell>
          <cell r="C372">
            <v>51044</v>
          </cell>
          <cell r="D372">
            <v>51014</v>
          </cell>
          <cell r="E372">
            <v>48474.05</v>
          </cell>
          <cell r="F372">
            <v>3523.15</v>
          </cell>
          <cell r="G372">
            <v>51997.200000000004</v>
          </cell>
          <cell r="H372">
            <v>243.29</v>
          </cell>
          <cell r="L372">
            <v>248.17</v>
          </cell>
          <cell r="M372">
            <v>10600</v>
          </cell>
          <cell r="O372">
            <v>0</v>
          </cell>
          <cell r="S372">
            <v>63088.66</v>
          </cell>
          <cell r="T372">
            <v>693240.78000000305</v>
          </cell>
        </row>
        <row r="373">
          <cell r="A373">
            <v>362</v>
          </cell>
          <cell r="B373">
            <v>347</v>
          </cell>
          <cell r="C373">
            <v>51075</v>
          </cell>
          <cell r="D373">
            <v>51044</v>
          </cell>
          <cell r="E373">
            <v>48704.310000000005</v>
          </cell>
          <cell r="F373">
            <v>3292.89</v>
          </cell>
          <cell r="G373">
            <v>51997.200000000004</v>
          </cell>
          <cell r="H373">
            <v>243.29</v>
          </cell>
          <cell r="L373">
            <v>248.17</v>
          </cell>
          <cell r="M373">
            <v>10600</v>
          </cell>
          <cell r="O373">
            <v>0</v>
          </cell>
          <cell r="S373">
            <v>63088.66</v>
          </cell>
          <cell r="T373">
            <v>644536.470000003</v>
          </cell>
        </row>
        <row r="374">
          <cell r="A374">
            <v>363</v>
          </cell>
          <cell r="B374">
            <v>348</v>
          </cell>
          <cell r="C374">
            <v>51105</v>
          </cell>
          <cell r="D374">
            <v>51075</v>
          </cell>
          <cell r="E374">
            <v>48935.65</v>
          </cell>
          <cell r="F374">
            <v>3061.55</v>
          </cell>
          <cell r="G374">
            <v>51997.200000000004</v>
          </cell>
          <cell r="H374">
            <v>243.29</v>
          </cell>
          <cell r="L374">
            <v>248.17</v>
          </cell>
          <cell r="M374">
            <v>10600</v>
          </cell>
          <cell r="O374">
            <v>0</v>
          </cell>
          <cell r="S374">
            <v>63088.66</v>
          </cell>
          <cell r="T374">
            <v>595600.82000000298</v>
          </cell>
        </row>
        <row r="375">
          <cell r="A375">
            <v>364</v>
          </cell>
          <cell r="B375">
            <v>349</v>
          </cell>
          <cell r="C375">
            <v>51136</v>
          </cell>
          <cell r="D375">
            <v>51105</v>
          </cell>
          <cell r="E375">
            <v>49535.48</v>
          </cell>
          <cell r="F375">
            <v>2829.1</v>
          </cell>
          <cell r="G375">
            <v>52364.58</v>
          </cell>
          <cell r="H375">
            <v>124.08</v>
          </cell>
          <cell r="L375">
            <v>0</v>
          </cell>
          <cell r="M375">
            <v>10600</v>
          </cell>
          <cell r="O375">
            <v>0</v>
          </cell>
          <cell r="S375">
            <v>63088.66</v>
          </cell>
          <cell r="T375">
            <v>546065.34000000299</v>
          </cell>
        </row>
        <row r="376">
          <cell r="A376">
            <v>365</v>
          </cell>
          <cell r="B376">
            <v>350</v>
          </cell>
          <cell r="C376">
            <v>51167</v>
          </cell>
          <cell r="D376">
            <v>51136</v>
          </cell>
          <cell r="E376">
            <v>49770.770000000004</v>
          </cell>
          <cell r="F376">
            <v>2593.81</v>
          </cell>
          <cell r="G376">
            <v>52364.58</v>
          </cell>
          <cell r="H376">
            <v>124.08</v>
          </cell>
          <cell r="L376">
            <v>0</v>
          </cell>
          <cell r="M376">
            <v>10600</v>
          </cell>
          <cell r="O376">
            <v>0</v>
          </cell>
          <cell r="S376">
            <v>63088.66</v>
          </cell>
          <cell r="T376">
            <v>496294.57000000298</v>
          </cell>
        </row>
        <row r="377">
          <cell r="A377">
            <v>366</v>
          </cell>
          <cell r="B377">
            <v>351</v>
          </cell>
          <cell r="C377">
            <v>51196</v>
          </cell>
          <cell r="D377">
            <v>51167</v>
          </cell>
          <cell r="E377">
            <v>50007.18</v>
          </cell>
          <cell r="F377">
            <v>2357.4</v>
          </cell>
          <cell r="G377">
            <v>52364.58</v>
          </cell>
          <cell r="H377">
            <v>124.08</v>
          </cell>
          <cell r="L377">
            <v>0</v>
          </cell>
          <cell r="M377">
            <v>10600</v>
          </cell>
          <cell r="O377">
            <v>0</v>
          </cell>
          <cell r="S377">
            <v>63088.66</v>
          </cell>
          <cell r="T377">
            <v>446287.39000000298</v>
          </cell>
        </row>
        <row r="378">
          <cell r="A378">
            <v>367</v>
          </cell>
          <cell r="B378">
            <v>352</v>
          </cell>
          <cell r="C378">
            <v>51227</v>
          </cell>
          <cell r="D378">
            <v>51196</v>
          </cell>
          <cell r="E378">
            <v>50244.71</v>
          </cell>
          <cell r="F378">
            <v>2119.87</v>
          </cell>
          <cell r="G378">
            <v>52364.58</v>
          </cell>
          <cell r="H378">
            <v>124.08</v>
          </cell>
          <cell r="L378">
            <v>0</v>
          </cell>
          <cell r="M378">
            <v>10600</v>
          </cell>
          <cell r="O378">
            <v>0</v>
          </cell>
          <cell r="S378">
            <v>63088.66</v>
          </cell>
          <cell r="T378">
            <v>396042.68000000296</v>
          </cell>
        </row>
        <row r="379">
          <cell r="A379">
            <v>368</v>
          </cell>
          <cell r="B379">
            <v>353</v>
          </cell>
          <cell r="C379">
            <v>51257</v>
          </cell>
          <cell r="D379">
            <v>51227</v>
          </cell>
          <cell r="E379">
            <v>50483.380000000005</v>
          </cell>
          <cell r="F379">
            <v>1881.2</v>
          </cell>
          <cell r="G379">
            <v>52364.58</v>
          </cell>
          <cell r="H379">
            <v>124.08</v>
          </cell>
          <cell r="L379">
            <v>0</v>
          </cell>
          <cell r="M379">
            <v>10600</v>
          </cell>
          <cell r="O379">
            <v>0</v>
          </cell>
          <cell r="S379">
            <v>63088.66</v>
          </cell>
          <cell r="T379">
            <v>345559.30000000296</v>
          </cell>
        </row>
        <row r="380">
          <cell r="A380">
            <v>369</v>
          </cell>
          <cell r="B380">
            <v>354</v>
          </cell>
          <cell r="C380">
            <v>51288</v>
          </cell>
          <cell r="D380">
            <v>51257</v>
          </cell>
          <cell r="E380">
            <v>50723.17</v>
          </cell>
          <cell r="F380">
            <v>1641.41</v>
          </cell>
          <cell r="G380">
            <v>52364.58</v>
          </cell>
          <cell r="H380">
            <v>124.08</v>
          </cell>
          <cell r="L380">
            <v>0</v>
          </cell>
          <cell r="M380">
            <v>10600</v>
          </cell>
          <cell r="O380">
            <v>0</v>
          </cell>
          <cell r="S380">
            <v>63088.66</v>
          </cell>
          <cell r="T380">
            <v>294836.13000000297</v>
          </cell>
        </row>
        <row r="381">
          <cell r="A381">
            <v>370</v>
          </cell>
          <cell r="B381">
            <v>355</v>
          </cell>
          <cell r="C381">
            <v>51318</v>
          </cell>
          <cell r="D381">
            <v>51288</v>
          </cell>
          <cell r="E381">
            <v>50964.11</v>
          </cell>
          <cell r="F381">
            <v>1400.47</v>
          </cell>
          <cell r="G381">
            <v>52364.58</v>
          </cell>
          <cell r="H381">
            <v>124.08</v>
          </cell>
          <cell r="L381">
            <v>0</v>
          </cell>
          <cell r="M381">
            <v>10600</v>
          </cell>
          <cell r="O381">
            <v>0</v>
          </cell>
          <cell r="S381">
            <v>63088.66</v>
          </cell>
          <cell r="T381">
            <v>243872.02000000299</v>
          </cell>
        </row>
        <row r="382">
          <cell r="A382">
            <v>371</v>
          </cell>
          <cell r="B382">
            <v>356</v>
          </cell>
          <cell r="C382">
            <v>51349</v>
          </cell>
          <cell r="D382">
            <v>51318</v>
          </cell>
          <cell r="E382">
            <v>51206.19</v>
          </cell>
          <cell r="F382">
            <v>1158.3900000000001</v>
          </cell>
          <cell r="G382">
            <v>52364.58</v>
          </cell>
          <cell r="H382">
            <v>124.08</v>
          </cell>
          <cell r="L382">
            <v>0</v>
          </cell>
          <cell r="M382">
            <v>10600</v>
          </cell>
          <cell r="O382">
            <v>0</v>
          </cell>
          <cell r="S382">
            <v>63088.66</v>
          </cell>
          <cell r="T382">
            <v>192665.83000000298</v>
          </cell>
        </row>
        <row r="383">
          <cell r="A383">
            <v>372</v>
          </cell>
          <cell r="B383">
            <v>357</v>
          </cell>
          <cell r="C383">
            <v>51380</v>
          </cell>
          <cell r="D383">
            <v>51349</v>
          </cell>
          <cell r="E383">
            <v>51449.42</v>
          </cell>
          <cell r="F383">
            <v>915.16</v>
          </cell>
          <cell r="G383">
            <v>52364.58</v>
          </cell>
          <cell r="H383">
            <v>124.08</v>
          </cell>
          <cell r="L383">
            <v>0</v>
          </cell>
          <cell r="M383">
            <v>10600</v>
          </cell>
          <cell r="O383">
            <v>0</v>
          </cell>
          <cell r="S383">
            <v>63088.66</v>
          </cell>
          <cell r="T383">
            <v>141216.410000003</v>
          </cell>
        </row>
        <row r="384">
          <cell r="A384">
            <v>373</v>
          </cell>
          <cell r="B384">
            <v>358</v>
          </cell>
          <cell r="C384">
            <v>51410</v>
          </cell>
          <cell r="D384">
            <v>51380</v>
          </cell>
          <cell r="E384">
            <v>51693.8</v>
          </cell>
          <cell r="F384">
            <v>670.78</v>
          </cell>
          <cell r="G384">
            <v>52364.58</v>
          </cell>
          <cell r="H384">
            <v>124.08</v>
          </cell>
          <cell r="L384">
            <v>0</v>
          </cell>
          <cell r="M384">
            <v>10600</v>
          </cell>
          <cell r="O384">
            <v>0</v>
          </cell>
          <cell r="S384">
            <v>63088.66</v>
          </cell>
          <cell r="T384">
            <v>89522.610000002998</v>
          </cell>
        </row>
        <row r="385">
          <cell r="A385">
            <v>374</v>
          </cell>
          <cell r="B385">
            <v>359</v>
          </cell>
          <cell r="C385">
            <v>51441</v>
          </cell>
          <cell r="D385">
            <v>51410</v>
          </cell>
          <cell r="E385">
            <v>51939.35</v>
          </cell>
          <cell r="F385">
            <v>425.23</v>
          </cell>
          <cell r="G385">
            <v>52364.58</v>
          </cell>
          <cell r="H385">
            <v>124.08</v>
          </cell>
          <cell r="L385">
            <v>0</v>
          </cell>
          <cell r="M385">
            <v>10600</v>
          </cell>
          <cell r="O385">
            <v>0</v>
          </cell>
          <cell r="S385">
            <v>63088.66</v>
          </cell>
          <cell r="T385">
            <v>37583.260000003</v>
          </cell>
        </row>
        <row r="386">
          <cell r="A386">
            <v>375</v>
          </cell>
          <cell r="B386">
            <v>360</v>
          </cell>
          <cell r="C386">
            <v>51471</v>
          </cell>
          <cell r="D386">
            <v>51441</v>
          </cell>
          <cell r="E386">
            <v>37583.26</v>
          </cell>
          <cell r="F386">
            <v>178.52</v>
          </cell>
          <cell r="G386">
            <v>37761.78</v>
          </cell>
          <cell r="H386">
            <v>124.08</v>
          </cell>
          <cell r="L386">
            <v>0</v>
          </cell>
          <cell r="M386">
            <v>10600</v>
          </cell>
          <cell r="O386">
            <v>0</v>
          </cell>
          <cell r="S386">
            <v>48485.86</v>
          </cell>
          <cell r="T386">
            <v>2.9976945370435715E-9</v>
          </cell>
        </row>
        <row r="387">
          <cell r="E387">
            <v>8349999.9999999972</v>
          </cell>
          <cell r="F387">
            <v>9875086.880000012</v>
          </cell>
          <cell r="G387">
            <v>18225086.879999992</v>
          </cell>
          <cell r="H387">
            <v>442603.58999999939</v>
          </cell>
          <cell r="J387">
            <v>41750</v>
          </cell>
          <cell r="L387">
            <v>846821.06999999762</v>
          </cell>
          <cell r="M387">
            <v>3816000</v>
          </cell>
          <cell r="O387">
            <v>0</v>
          </cell>
          <cell r="Q387">
            <v>0</v>
          </cell>
          <cell r="S387">
            <v>23372261.540000048</v>
          </cell>
        </row>
      </sheetData>
      <sheetData sheetId="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 and Unit Mix"/>
      <sheetName val="Critical Debt Issues"/>
      <sheetName val="Yield Matrix"/>
      <sheetName val="Summary"/>
      <sheetName val="Sources and Uses"/>
      <sheetName val="Qualified Basis"/>
      <sheetName val="Stabilized"/>
      <sheetName val="Proforma Operations"/>
      <sheetName val="Proforma Slow Rev Growth"/>
      <sheetName val="3-3-5 Proforma"/>
      <sheetName val="Lease-Up"/>
      <sheetName val="Tax Credit Analysis"/>
      <sheetName val="Buyer's IRR"/>
      <sheetName val="UT"/>
      <sheetName val="Min. Gain Calc."/>
      <sheetName val="Min. Gain Calc. 3-3-5"/>
      <sheetName val="Residual Analysis"/>
      <sheetName val="Developer Fee Schedule"/>
      <sheetName val="Exhibit A"/>
      <sheetName val="Book Tax"/>
      <sheetName val="BondTests"/>
      <sheetName val="Amo 1"/>
      <sheetName val="Amo 2"/>
      <sheetName val="Amo 3"/>
      <sheetName val="Amo 4"/>
      <sheetName val="Bond 1"/>
      <sheetName val="State Buyers IR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s and Use"/>
      <sheetName val="Devel. Bud"/>
      <sheetName val="Draw Schedule"/>
      <sheetName val="Cons Int &amp; Neg Arb"/>
      <sheetName val="Units &amp; Income"/>
      <sheetName val="M and O"/>
      <sheetName val="Mort"/>
      <sheetName val="Cash Flow"/>
      <sheetName val="Cash Flow 3-4 inflators"/>
      <sheetName val="Tax Credit "/>
      <sheetName val="$50K TIP Test Model"/>
      <sheetName val="Residual Value 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_values only"/>
      <sheetName val="Cash Proforma_values only"/>
      <sheetName val="Revenue_values only"/>
      <sheetName val="Expenses_values only"/>
      <sheetName val="Development Budget_values only"/>
      <sheetName val="Tax Credits_values only"/>
      <sheetName val="Brighton Towers_HFA Underwritin"/>
    </sheetNames>
    <definedNames>
      <definedName name="TotalAcquisitionCost" refersTo="#REF!"/>
      <definedName name="TotalDevelopmentCost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al Terms"/>
      <sheetName val="Underwriting Executive Summary"/>
      <sheetName val="Projections"/>
      <sheetName val="Definitions"/>
      <sheetName val="Active8_Reference_Sheet"/>
    </sheetNames>
    <sheetDataSet>
      <sheetData sheetId="0">
        <row r="6">
          <cell r="K6" t="str">
            <v xml:space="preserve">DUS Conventional </v>
          </cell>
        </row>
        <row r="7">
          <cell r="K7" t="str">
            <v>DUS Supplemental loans - Coterminous</v>
          </cell>
          <cell r="P7" t="str">
            <v>Yes</v>
          </cell>
        </row>
        <row r="8">
          <cell r="K8" t="str">
            <v>DUS Supplemental loans - Non-Coterminous</v>
          </cell>
          <cell r="P8" t="str">
            <v>No</v>
          </cell>
        </row>
        <row r="9">
          <cell r="K9" t="str">
            <v>DUS Plus</v>
          </cell>
        </row>
        <row r="10">
          <cell r="K10" t="str">
            <v xml:space="preserve">Market Rate Forward </v>
          </cell>
        </row>
        <row r="11">
          <cell r="K11" t="str">
            <v>MAH - LIHTC</v>
          </cell>
        </row>
        <row r="12">
          <cell r="K12" t="str">
            <v>MAH - Funded Forward Rate Lock</v>
          </cell>
        </row>
        <row r="13">
          <cell r="K13" t="str">
            <v>MAH - Unfunded Forward Rate Lock</v>
          </cell>
        </row>
        <row r="14">
          <cell r="K14" t="str">
            <v>Bond Credit Enhancement</v>
          </cell>
        </row>
        <row r="15">
          <cell r="K15" t="str">
            <v>Manufactured Housing Communities</v>
          </cell>
        </row>
        <row r="16">
          <cell r="K16" t="str">
            <v>Pre-stabilization</v>
          </cell>
        </row>
        <row r="17">
          <cell r="K17" t="str">
            <v>BaseMax</v>
          </cell>
        </row>
        <row r="18">
          <cell r="K18" t="str">
            <v>Seniors</v>
          </cell>
        </row>
        <row r="19">
          <cell r="K19" t="str">
            <v>Student Housing</v>
          </cell>
        </row>
        <row r="20">
          <cell r="K20" t="str">
            <v>Unknown</v>
          </cell>
        </row>
        <row r="21">
          <cell r="I21" t="str">
            <v>Pre-stab</v>
          </cell>
          <cell r="K21" t="str">
            <v>Other, See Below</v>
          </cell>
        </row>
        <row r="22">
          <cell r="I22" t="str">
            <v>Stabilized w &lt;1.20x DSCR</v>
          </cell>
        </row>
        <row r="23">
          <cell r="I23" t="str">
            <v>Mod Rehab</v>
          </cell>
        </row>
        <row r="24">
          <cell r="I24" t="str">
            <v>Repositioning</v>
          </cell>
        </row>
        <row r="44">
          <cell r="L44" t="str">
            <v>LOC</v>
          </cell>
          <cell r="M44" t="str">
            <v>100% of loan proceeds shortfall</v>
          </cell>
        </row>
        <row r="45">
          <cell r="L45" t="str">
            <v>Guaranty</v>
          </cell>
          <cell r="M45" t="str">
            <v>125% of loan proceeds shortfall</v>
          </cell>
        </row>
        <row r="46">
          <cell r="L46" t="str">
            <v>Cash</v>
          </cell>
          <cell r="M46" t="str">
            <v>3X NOI</v>
          </cell>
        </row>
        <row r="47">
          <cell r="L47" t="str">
            <v>Other, See Below</v>
          </cell>
          <cell r="M47" t="str">
            <v>6X NOI</v>
          </cell>
        </row>
        <row r="48">
          <cell r="M48" t="str">
            <v>Other, See Below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ng"/>
      <sheetName val="Sheet1"/>
      <sheetName val="AFR Note"/>
      <sheetName val="Summary S&amp;U"/>
      <sheetName val="MF125 Op Exp"/>
      <sheetName val="Sheet2"/>
    </sheetNames>
    <sheetDataSet>
      <sheetData sheetId="0" refreshError="1">
        <row r="142">
          <cell r="B142">
            <v>211649.57802305993</v>
          </cell>
        </row>
        <row r="147">
          <cell r="B147">
            <v>3411400</v>
          </cell>
        </row>
        <row r="177">
          <cell r="B177">
            <v>6500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 Data"/>
      <sheetName val="2) Income"/>
      <sheetName val="3) Proforma"/>
      <sheetName val="4) Underwriting"/>
      <sheetName val="5) Debt Sizing"/>
      <sheetName val="6) Dev Budget"/>
      <sheetName val="7) Source &amp; Use"/>
      <sheetName val="8) Draw Schedule"/>
      <sheetName val="9) Source by Use By Draw"/>
      <sheetName val="10) 95.5 Analysis"/>
      <sheetName val="11) Dev Proforma"/>
      <sheetName val="12) 15 Year Proforma"/>
      <sheetName val="13) Construction Schedule"/>
      <sheetName val="14) Amortization"/>
      <sheetName val="15) RMC Budget Comparison"/>
      <sheetName val="15) Presentation"/>
      <sheetName val="16) HFA Inc and Expense"/>
      <sheetName val="17) HFA Dev Cos"/>
      <sheetName val="18) HFA S+U"/>
      <sheetName val="19) HFA LIHTC Calculation"/>
      <sheetName val="Sheet2"/>
      <sheetName val="Sheet1"/>
      <sheetName val="Sheet5"/>
    </sheetNames>
    <sheetDataSet>
      <sheetData sheetId="0" refreshError="1">
        <row r="6">
          <cell r="C6" t="str">
            <v>Central Towers</v>
          </cell>
        </row>
        <row r="16">
          <cell r="C16" t="str">
            <v>HFA 100% @ 60%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ication Instructions"/>
      <sheetName val="Application Fee Information"/>
      <sheetName val="Application Checklist_Original"/>
      <sheetName val="Application Checklist"/>
      <sheetName val="Project Narrative"/>
      <sheetName val="Omnibus Certification"/>
      <sheetName val="Omnibus Cert_2"/>
      <sheetName val="Schedule of Real Estate Owned"/>
      <sheetName val="Project Summary"/>
      <sheetName val="Project Summary_PT2"/>
      <sheetName val="Operating Expenses"/>
      <sheetName val="Development Budget"/>
      <sheetName val="Project Summary_PT3"/>
      <sheetName val="Cash Flow Proforma"/>
      <sheetName val="Development Team"/>
      <sheetName val="Subsidy Short form app"/>
      <sheetName val="LIHTC Questionaire"/>
      <sheetName val="Credit Report"/>
      <sheetName val="Applicant Certification"/>
      <sheetName val="Authorization to Release Info."/>
      <sheetName val="Hidden 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2">
          <cell r="A2" t="str">
            <v>Yes</v>
          </cell>
          <cell r="B2" t="str">
            <v>No</v>
          </cell>
          <cell r="C2">
            <v>1</v>
          </cell>
          <cell r="D2">
            <v>1</v>
          </cell>
          <cell r="E2" t="str">
            <v>1st</v>
          </cell>
          <cell r="F2" t="str">
            <v>N/A</v>
          </cell>
          <cell r="G2" t="str">
            <v>New Construction</v>
          </cell>
          <cell r="H2" t="str">
            <v>Albany County</v>
          </cell>
          <cell r="I2" t="str">
            <v>&lt;= 50% AMI</v>
          </cell>
        </row>
        <row r="3">
          <cell r="A3" t="str">
            <v>No</v>
          </cell>
          <cell r="B3" t="str">
            <v>DDA</v>
          </cell>
          <cell r="C3">
            <v>2</v>
          </cell>
          <cell r="D3">
            <v>2</v>
          </cell>
          <cell r="E3" t="str">
            <v>2nd</v>
          </cell>
          <cell r="F3">
            <v>1</v>
          </cell>
          <cell r="G3" t="str">
            <v>Preservation</v>
          </cell>
          <cell r="H3" t="str">
            <v>Allegany County</v>
          </cell>
          <cell r="I3" t="str">
            <v>&lt;= 60% AMI</v>
          </cell>
        </row>
        <row r="4">
          <cell r="B4" t="str">
            <v>SDDA</v>
          </cell>
          <cell r="C4">
            <v>3</v>
          </cell>
          <cell r="D4">
            <v>3</v>
          </cell>
          <cell r="E4" t="str">
            <v>3rd</v>
          </cell>
          <cell r="F4">
            <v>2</v>
          </cell>
          <cell r="G4" t="str">
            <v>Adaptive Reuse</v>
          </cell>
          <cell r="H4" t="str">
            <v>Bronx County</v>
          </cell>
          <cell r="I4" t="str">
            <v>&lt;= 80% AMI</v>
          </cell>
        </row>
        <row r="5">
          <cell r="B5" t="str">
            <v>QCT</v>
          </cell>
          <cell r="C5">
            <v>4</v>
          </cell>
          <cell r="D5">
            <v>4</v>
          </cell>
          <cell r="E5" t="str">
            <v>4th</v>
          </cell>
          <cell r="F5">
            <v>3</v>
          </cell>
          <cell r="G5" t="str">
            <v>Senior Housing</v>
          </cell>
          <cell r="H5" t="str">
            <v>Broome County</v>
          </cell>
          <cell r="I5" t="str">
            <v>&lt;= 90% AMI</v>
          </cell>
        </row>
        <row r="6">
          <cell r="B6" t="str">
            <v>DDA &amp; QCT</v>
          </cell>
          <cell r="C6">
            <v>5</v>
          </cell>
          <cell r="D6">
            <v>5</v>
          </cell>
          <cell r="E6" t="str">
            <v>5th</v>
          </cell>
          <cell r="F6">
            <v>4</v>
          </cell>
          <cell r="H6" t="str">
            <v>Cattaraugus County</v>
          </cell>
          <cell r="I6" t="str">
            <v>&lt;= 130% AMI</v>
          </cell>
        </row>
        <row r="7">
          <cell r="B7" t="str">
            <v>SDDA &amp; QCT</v>
          </cell>
          <cell r="C7">
            <v>6</v>
          </cell>
          <cell r="D7">
            <v>6</v>
          </cell>
          <cell r="E7" t="str">
            <v>6th</v>
          </cell>
          <cell r="F7">
            <v>5</v>
          </cell>
          <cell r="H7" t="str">
            <v>Cayuga County</v>
          </cell>
          <cell r="I7" t="str">
            <v>&gt; 130% AMI</v>
          </cell>
        </row>
        <row r="8">
          <cell r="C8">
            <v>7</v>
          </cell>
          <cell r="D8">
            <v>7</v>
          </cell>
          <cell r="E8" t="str">
            <v>7th</v>
          </cell>
          <cell r="F8">
            <v>6</v>
          </cell>
          <cell r="H8" t="str">
            <v>Chautauqua County</v>
          </cell>
          <cell r="I8" t="str">
            <v>N/A</v>
          </cell>
        </row>
        <row r="9">
          <cell r="C9">
            <v>8</v>
          </cell>
          <cell r="D9">
            <v>8</v>
          </cell>
          <cell r="E9" t="str">
            <v>8th</v>
          </cell>
          <cell r="F9">
            <v>7</v>
          </cell>
          <cell r="H9" t="str">
            <v>Chemung County</v>
          </cell>
        </row>
        <row r="10">
          <cell r="C10">
            <v>9</v>
          </cell>
          <cell r="D10">
            <v>9</v>
          </cell>
          <cell r="E10" t="str">
            <v>9th</v>
          </cell>
          <cell r="F10">
            <v>8</v>
          </cell>
          <cell r="H10" t="str">
            <v>Chenango County</v>
          </cell>
        </row>
        <row r="11">
          <cell r="C11">
            <v>10</v>
          </cell>
          <cell r="D11">
            <v>10</v>
          </cell>
          <cell r="E11" t="str">
            <v>10th</v>
          </cell>
          <cell r="F11">
            <v>9</v>
          </cell>
          <cell r="H11" t="str">
            <v>Clinton County</v>
          </cell>
        </row>
        <row r="12">
          <cell r="C12">
            <v>11</v>
          </cell>
          <cell r="D12">
            <v>11</v>
          </cell>
          <cell r="E12" t="str">
            <v>11th</v>
          </cell>
          <cell r="F12">
            <v>10</v>
          </cell>
          <cell r="H12" t="str">
            <v>Columbia County</v>
          </cell>
        </row>
        <row r="13">
          <cell r="C13">
            <v>12</v>
          </cell>
          <cell r="D13">
            <v>12</v>
          </cell>
          <cell r="E13" t="str">
            <v>12th</v>
          </cell>
          <cell r="F13">
            <v>11</v>
          </cell>
          <cell r="H13" t="str">
            <v>Cortland County</v>
          </cell>
        </row>
        <row r="14">
          <cell r="C14">
            <v>13</v>
          </cell>
          <cell r="D14">
            <v>13</v>
          </cell>
          <cell r="E14" t="str">
            <v>13th</v>
          </cell>
          <cell r="F14">
            <v>12</v>
          </cell>
          <cell r="H14" t="str">
            <v>Delaware County</v>
          </cell>
        </row>
        <row r="15">
          <cell r="C15">
            <v>14</v>
          </cell>
          <cell r="D15">
            <v>14</v>
          </cell>
          <cell r="E15" t="str">
            <v>14th</v>
          </cell>
          <cell r="F15">
            <v>13</v>
          </cell>
          <cell r="H15" t="str">
            <v>Dutchess County</v>
          </cell>
        </row>
        <row r="16">
          <cell r="C16">
            <v>15</v>
          </cell>
          <cell r="D16">
            <v>15</v>
          </cell>
          <cell r="E16" t="str">
            <v>15th</v>
          </cell>
          <cell r="F16">
            <v>14</v>
          </cell>
          <cell r="H16" t="str">
            <v>Erie County</v>
          </cell>
        </row>
        <row r="17">
          <cell r="C17">
            <v>16</v>
          </cell>
          <cell r="D17">
            <v>16</v>
          </cell>
          <cell r="E17" t="str">
            <v>16th</v>
          </cell>
          <cell r="F17">
            <v>15</v>
          </cell>
          <cell r="H17" t="str">
            <v>Essex County</v>
          </cell>
        </row>
        <row r="18">
          <cell r="C18">
            <v>17</v>
          </cell>
          <cell r="D18">
            <v>17</v>
          </cell>
          <cell r="E18" t="str">
            <v>17th</v>
          </cell>
          <cell r="F18">
            <v>16</v>
          </cell>
          <cell r="H18" t="str">
            <v>Franklin County</v>
          </cell>
        </row>
        <row r="19">
          <cell r="C19">
            <v>18</v>
          </cell>
          <cell r="D19">
            <v>18</v>
          </cell>
          <cell r="E19" t="str">
            <v>18th</v>
          </cell>
          <cell r="F19">
            <v>17</v>
          </cell>
          <cell r="H19" t="str">
            <v>Fulton County</v>
          </cell>
        </row>
        <row r="20">
          <cell r="C20">
            <v>19</v>
          </cell>
          <cell r="D20">
            <v>19</v>
          </cell>
          <cell r="E20" t="str">
            <v>19th</v>
          </cell>
          <cell r="F20">
            <v>18</v>
          </cell>
          <cell r="H20" t="str">
            <v>Genesee County</v>
          </cell>
        </row>
        <row r="21">
          <cell r="C21">
            <v>20</v>
          </cell>
          <cell r="D21">
            <v>20</v>
          </cell>
          <cell r="E21" t="str">
            <v>20th</v>
          </cell>
          <cell r="F21">
            <v>19</v>
          </cell>
          <cell r="H21" t="str">
            <v>Greene County</v>
          </cell>
        </row>
        <row r="22">
          <cell r="C22">
            <v>21</v>
          </cell>
          <cell r="D22">
            <v>21</v>
          </cell>
          <cell r="E22" t="str">
            <v>21st</v>
          </cell>
          <cell r="F22">
            <v>20</v>
          </cell>
          <cell r="H22" t="str">
            <v>Hamilton County</v>
          </cell>
        </row>
        <row r="23">
          <cell r="C23">
            <v>22</v>
          </cell>
          <cell r="D23">
            <v>22</v>
          </cell>
          <cell r="E23" t="str">
            <v>22nd</v>
          </cell>
          <cell r="F23">
            <v>21</v>
          </cell>
          <cell r="H23" t="str">
            <v>Herkimer County</v>
          </cell>
        </row>
        <row r="24">
          <cell r="C24">
            <v>23</v>
          </cell>
          <cell r="D24">
            <v>23</v>
          </cell>
          <cell r="E24" t="str">
            <v>23rd</v>
          </cell>
          <cell r="F24">
            <v>22</v>
          </cell>
          <cell r="H24" t="str">
            <v>Jefferson County</v>
          </cell>
        </row>
        <row r="25">
          <cell r="C25">
            <v>24</v>
          </cell>
          <cell r="D25">
            <v>24</v>
          </cell>
          <cell r="E25" t="str">
            <v>24th</v>
          </cell>
          <cell r="F25">
            <v>23</v>
          </cell>
          <cell r="H25" t="str">
            <v>Kings County (Brooklyn)</v>
          </cell>
        </row>
        <row r="26">
          <cell r="C26">
            <v>25</v>
          </cell>
          <cell r="D26">
            <v>25</v>
          </cell>
          <cell r="E26" t="str">
            <v>25th</v>
          </cell>
          <cell r="F26">
            <v>24</v>
          </cell>
          <cell r="H26" t="str">
            <v>Lewis County</v>
          </cell>
        </row>
        <row r="27">
          <cell r="C27">
            <v>26</v>
          </cell>
          <cell r="D27">
            <v>26</v>
          </cell>
          <cell r="E27" t="str">
            <v>26th</v>
          </cell>
          <cell r="F27">
            <v>25</v>
          </cell>
          <cell r="H27" t="str">
            <v>Livingston County</v>
          </cell>
        </row>
        <row r="28">
          <cell r="C28">
            <v>27</v>
          </cell>
          <cell r="D28">
            <v>27</v>
          </cell>
          <cell r="E28" t="str">
            <v>27th</v>
          </cell>
          <cell r="F28">
            <v>26</v>
          </cell>
          <cell r="H28" t="str">
            <v>Madison County</v>
          </cell>
        </row>
        <row r="29">
          <cell r="C29">
            <v>28</v>
          </cell>
          <cell r="D29">
            <v>28</v>
          </cell>
          <cell r="F29">
            <v>27</v>
          </cell>
          <cell r="H29" t="str">
            <v>Monroe County</v>
          </cell>
        </row>
        <row r="30">
          <cell r="C30">
            <v>29</v>
          </cell>
          <cell r="D30">
            <v>29</v>
          </cell>
          <cell r="F30">
            <v>28</v>
          </cell>
          <cell r="H30" t="str">
            <v>Montgomery County</v>
          </cell>
        </row>
        <row r="31">
          <cell r="C31">
            <v>30</v>
          </cell>
          <cell r="D31">
            <v>30</v>
          </cell>
          <cell r="F31">
            <v>29</v>
          </cell>
          <cell r="H31" t="str">
            <v>Nassau County</v>
          </cell>
        </row>
        <row r="32">
          <cell r="C32">
            <v>31</v>
          </cell>
          <cell r="D32">
            <v>31</v>
          </cell>
          <cell r="F32">
            <v>30</v>
          </cell>
          <cell r="H32" t="str">
            <v>New York County (Manhattan)</v>
          </cell>
        </row>
        <row r="33">
          <cell r="C33">
            <v>32</v>
          </cell>
          <cell r="D33">
            <v>32</v>
          </cell>
          <cell r="F33">
            <v>31</v>
          </cell>
          <cell r="H33" t="str">
            <v>Niagara County</v>
          </cell>
        </row>
        <row r="34">
          <cell r="C34">
            <v>33</v>
          </cell>
          <cell r="D34">
            <v>33</v>
          </cell>
          <cell r="F34">
            <v>32</v>
          </cell>
          <cell r="H34" t="str">
            <v>Oneida County</v>
          </cell>
        </row>
        <row r="35">
          <cell r="C35">
            <v>34</v>
          </cell>
          <cell r="D35">
            <v>34</v>
          </cell>
          <cell r="F35">
            <v>33</v>
          </cell>
          <cell r="H35" t="str">
            <v>Onondaga County</v>
          </cell>
        </row>
        <row r="36">
          <cell r="C36">
            <v>35</v>
          </cell>
          <cell r="D36">
            <v>35</v>
          </cell>
          <cell r="F36">
            <v>34</v>
          </cell>
          <cell r="H36" t="str">
            <v>Ontario County</v>
          </cell>
        </row>
        <row r="37">
          <cell r="C37">
            <v>36</v>
          </cell>
          <cell r="D37">
            <v>36</v>
          </cell>
          <cell r="F37">
            <v>35</v>
          </cell>
          <cell r="H37" t="str">
            <v>Orange County</v>
          </cell>
        </row>
        <row r="38">
          <cell r="C38">
            <v>37</v>
          </cell>
          <cell r="D38">
            <v>37</v>
          </cell>
          <cell r="F38">
            <v>36</v>
          </cell>
          <cell r="H38" t="str">
            <v>Orleans County</v>
          </cell>
        </row>
        <row r="39">
          <cell r="C39">
            <v>38</v>
          </cell>
          <cell r="D39">
            <v>38</v>
          </cell>
          <cell r="F39">
            <v>37</v>
          </cell>
          <cell r="H39" t="str">
            <v>Oswego County</v>
          </cell>
        </row>
        <row r="40">
          <cell r="C40">
            <v>39</v>
          </cell>
          <cell r="D40">
            <v>39</v>
          </cell>
          <cell r="F40">
            <v>38</v>
          </cell>
          <cell r="H40" t="str">
            <v>Otsego County</v>
          </cell>
        </row>
        <row r="41">
          <cell r="C41">
            <v>40</v>
          </cell>
          <cell r="D41">
            <v>40</v>
          </cell>
          <cell r="F41">
            <v>39</v>
          </cell>
          <cell r="H41" t="str">
            <v>Putnam County</v>
          </cell>
        </row>
        <row r="42">
          <cell r="C42">
            <v>41</v>
          </cell>
          <cell r="D42">
            <v>41</v>
          </cell>
          <cell r="F42">
            <v>40</v>
          </cell>
          <cell r="H42" t="str">
            <v>Queens County</v>
          </cell>
        </row>
        <row r="43">
          <cell r="C43">
            <v>42</v>
          </cell>
          <cell r="D43">
            <v>42</v>
          </cell>
          <cell r="F43">
            <v>41</v>
          </cell>
          <cell r="H43" t="str">
            <v>Rensselaer County</v>
          </cell>
        </row>
        <row r="44">
          <cell r="C44">
            <v>43</v>
          </cell>
          <cell r="D44">
            <v>43</v>
          </cell>
          <cell r="F44">
            <v>42</v>
          </cell>
          <cell r="H44" t="str">
            <v>Richmond County (Staten Island)</v>
          </cell>
        </row>
        <row r="45">
          <cell r="C45">
            <v>44</v>
          </cell>
          <cell r="D45">
            <v>44</v>
          </cell>
          <cell r="F45">
            <v>43</v>
          </cell>
          <cell r="H45" t="str">
            <v>Rockland County</v>
          </cell>
        </row>
        <row r="46">
          <cell r="C46">
            <v>45</v>
          </cell>
          <cell r="D46">
            <v>45</v>
          </cell>
          <cell r="F46">
            <v>44</v>
          </cell>
          <cell r="H46" t="str">
            <v>Saint Lawrence County</v>
          </cell>
        </row>
        <row r="47">
          <cell r="C47">
            <v>46</v>
          </cell>
          <cell r="D47">
            <v>46</v>
          </cell>
          <cell r="F47">
            <v>45</v>
          </cell>
          <cell r="H47" t="str">
            <v>Saratoga County</v>
          </cell>
        </row>
        <row r="48">
          <cell r="C48">
            <v>47</v>
          </cell>
          <cell r="D48">
            <v>47</v>
          </cell>
          <cell r="F48">
            <v>46</v>
          </cell>
          <cell r="H48" t="str">
            <v>Schenectady County</v>
          </cell>
        </row>
        <row r="49">
          <cell r="C49">
            <v>48</v>
          </cell>
          <cell r="D49">
            <v>48</v>
          </cell>
          <cell r="F49">
            <v>47</v>
          </cell>
          <cell r="H49" t="str">
            <v>Schoharie County</v>
          </cell>
        </row>
        <row r="50">
          <cell r="C50">
            <v>49</v>
          </cell>
          <cell r="D50">
            <v>49</v>
          </cell>
          <cell r="F50">
            <v>48</v>
          </cell>
          <cell r="H50" t="str">
            <v>Schuyler County</v>
          </cell>
        </row>
        <row r="51">
          <cell r="C51">
            <v>50</v>
          </cell>
          <cell r="D51">
            <v>50</v>
          </cell>
          <cell r="F51">
            <v>49</v>
          </cell>
          <cell r="H51" t="str">
            <v>Seneca County</v>
          </cell>
        </row>
        <row r="52">
          <cell r="C52">
            <v>51</v>
          </cell>
          <cell r="D52">
            <v>51</v>
          </cell>
          <cell r="F52">
            <v>50</v>
          </cell>
          <cell r="H52" t="str">
            <v>Steuben County</v>
          </cell>
        </row>
        <row r="53">
          <cell r="C53">
            <v>52</v>
          </cell>
          <cell r="D53">
            <v>52</v>
          </cell>
          <cell r="F53">
            <v>51</v>
          </cell>
          <cell r="H53" t="str">
            <v>Suffolk County</v>
          </cell>
        </row>
        <row r="54">
          <cell r="C54">
            <v>53</v>
          </cell>
          <cell r="D54">
            <v>53</v>
          </cell>
          <cell r="F54">
            <v>52</v>
          </cell>
          <cell r="H54" t="str">
            <v>Sullivan County</v>
          </cell>
        </row>
        <row r="55">
          <cell r="C55">
            <v>54</v>
          </cell>
          <cell r="D55">
            <v>54</v>
          </cell>
          <cell r="F55">
            <v>53</v>
          </cell>
          <cell r="H55" t="str">
            <v>Tioga County</v>
          </cell>
        </row>
        <row r="56">
          <cell r="C56">
            <v>55</v>
          </cell>
          <cell r="D56">
            <v>55</v>
          </cell>
          <cell r="F56">
            <v>54</v>
          </cell>
          <cell r="H56" t="str">
            <v>Tompkins County</v>
          </cell>
        </row>
        <row r="57">
          <cell r="C57">
            <v>56</v>
          </cell>
          <cell r="D57">
            <v>56</v>
          </cell>
          <cell r="F57">
            <v>55</v>
          </cell>
          <cell r="H57" t="str">
            <v>Ulster County</v>
          </cell>
        </row>
        <row r="58">
          <cell r="C58">
            <v>57</v>
          </cell>
          <cell r="D58">
            <v>57</v>
          </cell>
          <cell r="F58">
            <v>56</v>
          </cell>
          <cell r="H58" t="str">
            <v>Warren County</v>
          </cell>
        </row>
        <row r="59">
          <cell r="C59">
            <v>58</v>
          </cell>
          <cell r="D59">
            <v>58</v>
          </cell>
          <cell r="F59">
            <v>57</v>
          </cell>
          <cell r="H59" t="str">
            <v>Washington County</v>
          </cell>
        </row>
        <row r="60">
          <cell r="C60">
            <v>59</v>
          </cell>
          <cell r="D60">
            <v>59</v>
          </cell>
          <cell r="F60">
            <v>58</v>
          </cell>
          <cell r="H60" t="str">
            <v>Wayne County</v>
          </cell>
        </row>
        <row r="61">
          <cell r="C61">
            <v>60</v>
          </cell>
          <cell r="D61">
            <v>60</v>
          </cell>
          <cell r="F61">
            <v>59</v>
          </cell>
          <cell r="H61" t="str">
            <v>Westchester County</v>
          </cell>
        </row>
        <row r="62">
          <cell r="C62">
            <v>61</v>
          </cell>
          <cell r="D62">
            <v>61</v>
          </cell>
          <cell r="H62" t="str">
            <v>Wyoming County</v>
          </cell>
        </row>
        <row r="63">
          <cell r="C63">
            <v>62</v>
          </cell>
          <cell r="D63">
            <v>62</v>
          </cell>
          <cell r="H63" t="str">
            <v>Yates County</v>
          </cell>
        </row>
        <row r="64">
          <cell r="C64">
            <v>63</v>
          </cell>
          <cell r="D64">
            <v>63</v>
          </cell>
        </row>
        <row r="65">
          <cell r="D65">
            <v>64</v>
          </cell>
        </row>
        <row r="66">
          <cell r="D66">
            <v>65</v>
          </cell>
        </row>
        <row r="67">
          <cell r="D67">
            <v>66</v>
          </cell>
        </row>
        <row r="68">
          <cell r="D68">
            <v>67</v>
          </cell>
        </row>
        <row r="69">
          <cell r="D69">
            <v>68</v>
          </cell>
        </row>
        <row r="70">
          <cell r="D70">
            <v>69</v>
          </cell>
        </row>
        <row r="71">
          <cell r="D71">
            <v>70</v>
          </cell>
        </row>
        <row r="72">
          <cell r="D72">
            <v>71</v>
          </cell>
        </row>
        <row r="73">
          <cell r="D73">
            <v>72</v>
          </cell>
        </row>
        <row r="74">
          <cell r="D74">
            <v>73</v>
          </cell>
        </row>
        <row r="75">
          <cell r="D75">
            <v>74</v>
          </cell>
        </row>
        <row r="76">
          <cell r="D76">
            <v>75</v>
          </cell>
        </row>
        <row r="77">
          <cell r="D77">
            <v>76</v>
          </cell>
        </row>
        <row r="78">
          <cell r="D78">
            <v>77</v>
          </cell>
        </row>
        <row r="79">
          <cell r="D79">
            <v>78</v>
          </cell>
        </row>
        <row r="80">
          <cell r="D80">
            <v>79</v>
          </cell>
        </row>
        <row r="81">
          <cell r="D81">
            <v>80</v>
          </cell>
        </row>
        <row r="82">
          <cell r="D82">
            <v>81</v>
          </cell>
        </row>
        <row r="83">
          <cell r="D83">
            <v>82</v>
          </cell>
        </row>
        <row r="84">
          <cell r="D84">
            <v>83</v>
          </cell>
        </row>
        <row r="85">
          <cell r="D85">
            <v>84</v>
          </cell>
        </row>
        <row r="86">
          <cell r="D86">
            <v>85</v>
          </cell>
        </row>
        <row r="87">
          <cell r="D87">
            <v>86</v>
          </cell>
        </row>
        <row r="88">
          <cell r="D88">
            <v>87</v>
          </cell>
        </row>
        <row r="89">
          <cell r="D89">
            <v>88</v>
          </cell>
        </row>
        <row r="90">
          <cell r="D90">
            <v>89</v>
          </cell>
        </row>
        <row r="91">
          <cell r="D91">
            <v>90</v>
          </cell>
        </row>
        <row r="92">
          <cell r="D92">
            <v>91</v>
          </cell>
        </row>
        <row r="93">
          <cell r="D93">
            <v>92</v>
          </cell>
        </row>
        <row r="94">
          <cell r="D94">
            <v>93</v>
          </cell>
        </row>
        <row r="95">
          <cell r="D95">
            <v>94</v>
          </cell>
        </row>
        <row r="96">
          <cell r="D96">
            <v>95</v>
          </cell>
        </row>
        <row r="97">
          <cell r="D97">
            <v>96</v>
          </cell>
        </row>
        <row r="98">
          <cell r="D98">
            <v>97</v>
          </cell>
        </row>
        <row r="99">
          <cell r="D99">
            <v>98</v>
          </cell>
        </row>
        <row r="100">
          <cell r="D100">
            <v>99</v>
          </cell>
        </row>
        <row r="101">
          <cell r="D101">
            <v>100</v>
          </cell>
        </row>
        <row r="102">
          <cell r="D102">
            <v>101</v>
          </cell>
        </row>
        <row r="103">
          <cell r="D103">
            <v>102</v>
          </cell>
        </row>
        <row r="104">
          <cell r="D104">
            <v>103</v>
          </cell>
        </row>
        <row r="105">
          <cell r="D105">
            <v>104</v>
          </cell>
        </row>
        <row r="106">
          <cell r="D106">
            <v>105</v>
          </cell>
        </row>
        <row r="107">
          <cell r="D107">
            <v>106</v>
          </cell>
        </row>
        <row r="108">
          <cell r="D108">
            <v>107</v>
          </cell>
        </row>
        <row r="109">
          <cell r="D109">
            <v>108</v>
          </cell>
        </row>
        <row r="110">
          <cell r="D110">
            <v>109</v>
          </cell>
        </row>
        <row r="111">
          <cell r="D111">
            <v>110</v>
          </cell>
        </row>
        <row r="112">
          <cell r="D112">
            <v>111</v>
          </cell>
        </row>
        <row r="113">
          <cell r="D113">
            <v>112</v>
          </cell>
        </row>
        <row r="114">
          <cell r="D114">
            <v>113</v>
          </cell>
        </row>
        <row r="115">
          <cell r="D115">
            <v>114</v>
          </cell>
        </row>
        <row r="116">
          <cell r="D116">
            <v>115</v>
          </cell>
        </row>
        <row r="117">
          <cell r="D117">
            <v>116</v>
          </cell>
        </row>
        <row r="118">
          <cell r="D118">
            <v>117</v>
          </cell>
        </row>
        <row r="119">
          <cell r="D119">
            <v>118</v>
          </cell>
        </row>
        <row r="120">
          <cell r="D120">
            <v>119</v>
          </cell>
        </row>
        <row r="121">
          <cell r="D121">
            <v>120</v>
          </cell>
        </row>
        <row r="122">
          <cell r="D122">
            <v>121</v>
          </cell>
        </row>
        <row r="123">
          <cell r="D123">
            <v>122</v>
          </cell>
        </row>
        <row r="124">
          <cell r="D124">
            <v>123</v>
          </cell>
        </row>
        <row r="125">
          <cell r="D125">
            <v>124</v>
          </cell>
        </row>
        <row r="126">
          <cell r="D126">
            <v>125</v>
          </cell>
        </row>
        <row r="127">
          <cell r="D127">
            <v>126</v>
          </cell>
        </row>
        <row r="128">
          <cell r="D128">
            <v>127</v>
          </cell>
        </row>
        <row r="129">
          <cell r="D129">
            <v>128</v>
          </cell>
        </row>
        <row r="130">
          <cell r="D130">
            <v>129</v>
          </cell>
        </row>
        <row r="131">
          <cell r="D131">
            <v>130</v>
          </cell>
        </row>
        <row r="132">
          <cell r="D132">
            <v>131</v>
          </cell>
        </row>
        <row r="133">
          <cell r="D133">
            <v>132</v>
          </cell>
        </row>
        <row r="134">
          <cell r="D134">
            <v>133</v>
          </cell>
        </row>
        <row r="135">
          <cell r="D135">
            <v>134</v>
          </cell>
        </row>
        <row r="136">
          <cell r="D136">
            <v>135</v>
          </cell>
        </row>
        <row r="137">
          <cell r="D137">
            <v>136</v>
          </cell>
        </row>
        <row r="138">
          <cell r="D138">
            <v>137</v>
          </cell>
        </row>
        <row r="139">
          <cell r="D139">
            <v>138</v>
          </cell>
        </row>
        <row r="140">
          <cell r="D140">
            <v>139</v>
          </cell>
        </row>
        <row r="141">
          <cell r="D141">
            <v>140</v>
          </cell>
        </row>
        <row r="142">
          <cell r="D142">
            <v>141</v>
          </cell>
        </row>
        <row r="143">
          <cell r="D143">
            <v>142</v>
          </cell>
        </row>
        <row r="144">
          <cell r="D144">
            <v>143</v>
          </cell>
        </row>
        <row r="145">
          <cell r="D145">
            <v>144</v>
          </cell>
        </row>
        <row r="146">
          <cell r="D146">
            <v>145</v>
          </cell>
        </row>
        <row r="147">
          <cell r="D147">
            <v>146</v>
          </cell>
        </row>
        <row r="148">
          <cell r="D148">
            <v>147</v>
          </cell>
        </row>
        <row r="149">
          <cell r="D149">
            <v>148</v>
          </cell>
        </row>
        <row r="150">
          <cell r="D150">
            <v>149</v>
          </cell>
        </row>
        <row r="151">
          <cell r="D151">
            <v>150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s and Uses"/>
      <sheetName val="Unit Distrib."/>
      <sheetName val="m &amp; O"/>
      <sheetName val="Devel. Bud"/>
      <sheetName val="Mort"/>
      <sheetName val="Cred Memo"/>
      <sheetName val="Sheet2"/>
      <sheetName val="Men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B2" t="str">
            <v>Project Summary</v>
          </cell>
        </row>
        <row r="3">
          <cell r="B3" t="str">
            <v xml:space="preserve"> Project Name </v>
          </cell>
          <cell r="C3" t="str">
            <v>Casablanca</v>
          </cell>
        </row>
        <row r="4">
          <cell r="B4" t="str">
            <v xml:space="preserve"> HPD Project Manager</v>
          </cell>
          <cell r="C4" t="str">
            <v>Shawn Larson</v>
          </cell>
        </row>
        <row r="5">
          <cell r="B5" t="str">
            <v xml:space="preserve"> Formerly City-Owned Site</v>
          </cell>
        </row>
        <row r="6">
          <cell r="B6" t="str">
            <v xml:space="preserve"> HPD Program</v>
          </cell>
          <cell r="C6" t="str">
            <v>Multi-Family New Construction</v>
          </cell>
        </row>
        <row r="7">
          <cell r="B7" t="str">
            <v xml:space="preserve"> Development Category</v>
          </cell>
          <cell r="C7" t="str">
            <v>New Construction</v>
          </cell>
        </row>
        <row r="8">
          <cell r="B8" t="str">
            <v xml:space="preserve"> Occupancy Type</v>
          </cell>
          <cell r="C8" t="str">
            <v>Rental</v>
          </cell>
        </row>
        <row r="9">
          <cell r="B9" t="str">
            <v xml:space="preserve"> Number of Buildings</v>
          </cell>
          <cell r="C9">
            <v>1</v>
          </cell>
        </row>
        <row r="10">
          <cell r="B10" t="str">
            <v xml:space="preserve"> Number of Stories</v>
          </cell>
          <cell r="C10">
            <v>7</v>
          </cell>
        </row>
        <row r="15">
          <cell r="B15" t="str">
            <v>Square Footage</v>
          </cell>
          <cell r="C15" t="str">
            <v>Gross</v>
          </cell>
          <cell r="D15" t="str">
            <v>Net</v>
          </cell>
        </row>
        <row r="16">
          <cell r="B16" t="str">
            <v>Residential</v>
          </cell>
          <cell r="C16">
            <v>40220</v>
          </cell>
          <cell r="D16">
            <v>31851</v>
          </cell>
        </row>
        <row r="17">
          <cell r="B17" t="str">
            <v>Commercial/Retail</v>
          </cell>
          <cell r="C17">
            <v>8840</v>
          </cell>
        </row>
        <row r="18">
          <cell r="B18" t="str">
            <v>Community Facility</v>
          </cell>
          <cell r="C18">
            <v>0</v>
          </cell>
        </row>
        <row r="19">
          <cell r="B19" t="str">
            <v>Other</v>
          </cell>
        </row>
        <row r="21">
          <cell r="B21" t="str">
            <v>Total Square Feet</v>
          </cell>
          <cell r="C21">
            <v>49060</v>
          </cell>
          <cell r="D21">
            <v>31851</v>
          </cell>
        </row>
        <row r="25">
          <cell r="B25" t="str">
            <v>Number of Parking Spaces</v>
          </cell>
          <cell r="C25">
            <v>0</v>
          </cell>
        </row>
        <row r="30">
          <cell r="B30" t="str">
            <v>Unit Breakdown by Rent Level</v>
          </cell>
          <cell r="C30" t="str">
            <v># Units</v>
          </cell>
          <cell r="D30" t="str">
            <v>% of Total</v>
          </cell>
        </row>
        <row r="31">
          <cell r="B31" t="str">
            <v>Market Rate</v>
          </cell>
          <cell r="C31">
            <v>37</v>
          </cell>
          <cell r="D31">
            <v>0.77083333333333337</v>
          </cell>
        </row>
        <row r="32">
          <cell r="B32" t="str">
            <v>High HOME (Tax Credit)</v>
          </cell>
          <cell r="C32">
            <v>8</v>
          </cell>
          <cell r="D32">
            <v>0.16666666666666666</v>
          </cell>
        </row>
        <row r="33">
          <cell r="B33" t="str">
            <v>Low HOME (Tax Credit)</v>
          </cell>
          <cell r="C33">
            <v>3</v>
          </cell>
          <cell r="D33">
            <v>6.25E-2</v>
          </cell>
        </row>
        <row r="34">
          <cell r="B34" t="str">
            <v>Non-HOME Tax Credit</v>
          </cell>
          <cell r="C34">
            <v>0</v>
          </cell>
          <cell r="D34">
            <v>0</v>
          </cell>
        </row>
        <row r="35">
          <cell r="B35" t="str">
            <v>Other</v>
          </cell>
          <cell r="C35">
            <v>0</v>
          </cell>
          <cell r="D35">
            <v>0</v>
          </cell>
        </row>
        <row r="36">
          <cell r="B36" t="str">
            <v xml:space="preserve">  Subtotal</v>
          </cell>
          <cell r="C36">
            <v>48</v>
          </cell>
          <cell r="D36">
            <v>1</v>
          </cell>
        </row>
        <row r="38">
          <cell r="B38" t="str">
            <v>Super's Unit</v>
          </cell>
          <cell r="C38">
            <v>0</v>
          </cell>
        </row>
        <row r="40">
          <cell r="B40" t="str">
            <v>Total Units</v>
          </cell>
          <cell r="C40">
            <v>48</v>
          </cell>
        </row>
        <row r="41">
          <cell r="B41" t="str">
            <v>Total Rooms / Average Rms/du</v>
          </cell>
          <cell r="C41">
            <v>137</v>
          </cell>
          <cell r="D41">
            <v>2.8541666666666665</v>
          </cell>
        </row>
        <row r="44">
          <cell r="B44" t="str">
            <v># of units for formerly homeless tenants</v>
          </cell>
          <cell r="C44">
            <v>0</v>
          </cell>
          <cell r="D44">
            <v>0</v>
          </cell>
        </row>
        <row r="45">
          <cell r="B45" t="str">
            <v>Percentage homeless units</v>
          </cell>
          <cell r="C45">
            <v>0</v>
          </cell>
          <cell r="D45">
            <v>0</v>
          </cell>
        </row>
        <row r="49">
          <cell r="B49" t="str">
            <v>Location Information</v>
          </cell>
        </row>
        <row r="50">
          <cell r="B50" t="str">
            <v>Borough &amp; Neighborhood</v>
          </cell>
          <cell r="C50" t="str">
            <v xml:space="preserve">Manhattan </v>
          </cell>
        </row>
        <row r="51">
          <cell r="B51" t="str">
            <v>Address</v>
          </cell>
          <cell r="C51" t="str">
            <v>121-125 E. 110th St</v>
          </cell>
        </row>
        <row r="52">
          <cell r="B52" t="str">
            <v>Community Board</v>
          </cell>
          <cell r="C52">
            <v>11</v>
          </cell>
        </row>
        <row r="53">
          <cell r="B53" t="str">
            <v>Block / Lot(s)</v>
          </cell>
          <cell r="C53" t="str">
            <v>1638 / 7,8,9,10</v>
          </cell>
        </row>
        <row r="57">
          <cell r="B57" t="str">
            <v>Development Team</v>
          </cell>
        </row>
        <row r="58">
          <cell r="B58" t="str">
            <v>Owner / Borrower</v>
          </cell>
          <cell r="C58" t="str">
            <v>121-125 E. 110th St, LLC, Principal Luis Perez</v>
          </cell>
        </row>
        <row r="59">
          <cell r="B59" t="str">
            <v>Community Sponsor</v>
          </cell>
          <cell r="C59" t="str">
            <v>None</v>
          </cell>
        </row>
        <row r="60">
          <cell r="B60" t="str">
            <v>General Contractor</v>
          </cell>
          <cell r="C60" t="str">
            <v>CatsPaw</v>
          </cell>
        </row>
        <row r="61">
          <cell r="B61" t="str">
            <v>Managing Agent</v>
          </cell>
          <cell r="C61" t="str">
            <v>N/A</v>
          </cell>
        </row>
        <row r="66">
          <cell r="B66" t="str">
            <v>Financing Information</v>
          </cell>
        </row>
        <row r="67">
          <cell r="B67" t="str">
            <v>Construction Lender</v>
          </cell>
          <cell r="C67" t="str">
            <v>HDC</v>
          </cell>
        </row>
        <row r="68">
          <cell r="B68" t="str">
            <v>Permanent Lender</v>
          </cell>
          <cell r="C68" t="str">
            <v>HDC</v>
          </cell>
        </row>
        <row r="69">
          <cell r="B69" t="str">
            <v>Tax Credit Syndicator</v>
          </cell>
          <cell r="C69" t="str">
            <v xml:space="preserve"> </v>
          </cell>
        </row>
        <row r="70">
          <cell r="B70" t="str">
            <v>Tax Credit Raise</v>
          </cell>
          <cell r="C70" t="e">
            <v>#REF!</v>
          </cell>
        </row>
        <row r="71">
          <cell r="B71" t="str">
            <v>Debt Coverage: First Mortgage</v>
          </cell>
          <cell r="C71">
            <v>1.2833023603196596</v>
          </cell>
          <cell r="D71" t="str">
            <v>X</v>
          </cell>
        </row>
        <row r="72">
          <cell r="B72" t="str">
            <v>Debt Coverage: All Mortgages</v>
          </cell>
          <cell r="C72">
            <v>1.1499999999999999</v>
          </cell>
          <cell r="D72" t="str">
            <v>X</v>
          </cell>
        </row>
        <row r="73">
          <cell r="B73" t="str">
            <v>Income to Expense Ratio</v>
          </cell>
          <cell r="C73">
            <v>1.1064114667335889</v>
          </cell>
          <cell r="D73" t="str">
            <v>X</v>
          </cell>
        </row>
        <row r="74">
          <cell r="B74" t="str">
            <v>Mortgage Insurer</v>
          </cell>
          <cell r="C74" t="str">
            <v>SONYMA</v>
          </cell>
        </row>
        <row r="75">
          <cell r="B75" t="str">
            <v>Permanent Loan Servicer</v>
          </cell>
          <cell r="C75" t="str">
            <v>HDC</v>
          </cell>
        </row>
        <row r="82">
          <cell r="B82" t="str">
            <v>Development Costs</v>
          </cell>
          <cell r="C82" t="str">
            <v>Total</v>
          </cell>
          <cell r="D82" t="str">
            <v>Per DU</v>
          </cell>
          <cell r="E82" t="str">
            <v>Per GSF (Residential)</v>
          </cell>
          <cell r="F82" t="str">
            <v>Per GSF (Project)</v>
          </cell>
        </row>
        <row r="83">
          <cell r="B83" t="str">
            <v>Acquisition</v>
          </cell>
          <cell r="C83">
            <v>1600000</v>
          </cell>
          <cell r="D83">
            <v>33333.333333333336</v>
          </cell>
          <cell r="E83">
            <v>39.781203381402285</v>
          </cell>
          <cell r="F83">
            <v>32.613126783530369</v>
          </cell>
        </row>
        <row r="84">
          <cell r="B84" t="str">
            <v>Demolition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B85" t="str">
            <v>Total Acquisition / Demolition</v>
          </cell>
          <cell r="C85">
            <v>1600000</v>
          </cell>
          <cell r="D85">
            <v>33333.333333333336</v>
          </cell>
          <cell r="E85">
            <v>39.781203381402285</v>
          </cell>
          <cell r="F85">
            <v>32.613126783530369</v>
          </cell>
        </row>
        <row r="87">
          <cell r="B87" t="str">
            <v>Residential Portion</v>
          </cell>
          <cell r="C87">
            <v>10600000</v>
          </cell>
          <cell r="D87">
            <v>220833.33333333334</v>
          </cell>
          <cell r="E87">
            <v>263.55047240179016</v>
          </cell>
          <cell r="F87">
            <v>216.06196494088871</v>
          </cell>
        </row>
        <row r="88">
          <cell r="B88" t="str">
            <v xml:space="preserve">Commercial 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B89" t="str">
            <v>Community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B90" t="str">
            <v>Parking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B91" t="str">
            <v xml:space="preserve">  Total Project</v>
          </cell>
          <cell r="C91">
            <v>10600000</v>
          </cell>
          <cell r="D91">
            <v>220833.33333333334</v>
          </cell>
          <cell r="E91">
            <v>263.55047240179016</v>
          </cell>
          <cell r="F91">
            <v>216.06196494088871</v>
          </cell>
        </row>
        <row r="92">
          <cell r="B92" t="str">
            <v>Contingency  ~5%</v>
          </cell>
          <cell r="C92">
            <v>530000</v>
          </cell>
          <cell r="D92">
            <v>11041.666666666666</v>
          </cell>
          <cell r="E92">
            <v>13.177523620089508</v>
          </cell>
          <cell r="F92">
            <v>10.803098247044435</v>
          </cell>
        </row>
        <row r="93">
          <cell r="B93" t="str">
            <v>Other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B94" t="str">
            <v>Total Hard Costs</v>
          </cell>
          <cell r="C94">
            <v>11130000</v>
          </cell>
          <cell r="D94">
            <v>231875</v>
          </cell>
          <cell r="E94">
            <v>276.72799602187968</v>
          </cell>
          <cell r="F94">
            <v>226.86506318793315</v>
          </cell>
        </row>
        <row r="96">
          <cell r="B96" t="str">
            <v>Total Soft Costs</v>
          </cell>
          <cell r="C96">
            <v>2333748.2127187257</v>
          </cell>
          <cell r="D96">
            <v>48619.754431640118</v>
          </cell>
          <cell r="E96">
            <v>58.02457018196732</v>
          </cell>
          <cell r="F96">
            <v>47.569266463895751</v>
          </cell>
        </row>
        <row r="98">
          <cell r="B98" t="str">
            <v>Dev. Fee – Up Front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B99" t="str">
            <v>Dev. Fee - Deferred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B100" t="str">
            <v>Total Developer Fee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2">
          <cell r="B102" t="str">
            <v>TOTAL COSTS</v>
          </cell>
          <cell r="C102">
            <v>15063748.212718725</v>
          </cell>
          <cell r="D102">
            <v>313828.08776497346</v>
          </cell>
          <cell r="E102">
            <v>374.53376958524927</v>
          </cell>
          <cell r="F102">
            <v>307.04745643535927</v>
          </cell>
        </row>
        <row r="108">
          <cell r="B108" t="str">
            <v>Construction Period Sources of Funds</v>
          </cell>
          <cell r="C108" t="str">
            <v>Total</v>
          </cell>
          <cell r="D108" t="str">
            <v>Per DU</v>
          </cell>
          <cell r="E108" t="str">
            <v>% of TDC</v>
          </cell>
        </row>
        <row r="109">
          <cell r="B109" t="str">
            <v>HDC First</v>
          </cell>
          <cell r="C109">
            <v>6665000</v>
          </cell>
          <cell r="D109">
            <v>138854.16666666666</v>
          </cell>
          <cell r="E109">
            <v>0.44245296096841041</v>
          </cell>
        </row>
        <row r="110">
          <cell r="B110" t="str">
            <v>HDC Second</v>
          </cell>
          <cell r="C110">
            <v>3600000</v>
          </cell>
          <cell r="D110">
            <v>75000</v>
          </cell>
          <cell r="E110">
            <v>0.23898434500919391</v>
          </cell>
        </row>
        <row r="111">
          <cell r="B111" t="str">
            <v>HPD Capital</v>
          </cell>
          <cell r="C111">
            <v>1278059.2127187252</v>
          </cell>
          <cell r="D111">
            <v>26626.233598306775</v>
          </cell>
          <cell r="E111">
            <v>8.4843373287375165E-2</v>
          </cell>
        </row>
        <row r="112">
          <cell r="B112" t="str">
            <v>HPD HOME</v>
          </cell>
          <cell r="C112">
            <v>1620689</v>
          </cell>
          <cell r="D112">
            <v>33764.354166666664</v>
          </cell>
          <cell r="E112">
            <v>0.10758869420239041</v>
          </cell>
        </row>
        <row r="113">
          <cell r="B113" t="str">
            <v>Other (specify)</v>
          </cell>
          <cell r="C113">
            <v>0</v>
          </cell>
          <cell r="D113">
            <v>0</v>
          </cell>
          <cell r="E113">
            <v>0</v>
          </cell>
        </row>
        <row r="114">
          <cell r="B114" t="str">
            <v>Total Mortgages</v>
          </cell>
          <cell r="C114">
            <v>13163748.212718725</v>
          </cell>
          <cell r="D114">
            <v>274244.75443164009</v>
          </cell>
          <cell r="E114">
            <v>0.87386937346736993</v>
          </cell>
        </row>
        <row r="116">
          <cell r="B116" t="str">
            <v>Tax Credit Equity</v>
          </cell>
          <cell r="C116">
            <v>0</v>
          </cell>
          <cell r="D116">
            <v>0</v>
          </cell>
          <cell r="E116">
            <v>0</v>
          </cell>
        </row>
        <row r="117">
          <cell r="B117" t="str">
            <v>Developer Equity</v>
          </cell>
          <cell r="C117">
            <v>1900000</v>
          </cell>
          <cell r="D117">
            <v>39583.333333333336</v>
          </cell>
          <cell r="E117">
            <v>0.12613062653263013</v>
          </cell>
        </row>
        <row r="118">
          <cell r="B118" t="str">
            <v>Deferred Developer Fee</v>
          </cell>
          <cell r="C118">
            <v>0</v>
          </cell>
          <cell r="D118">
            <v>0</v>
          </cell>
          <cell r="E118">
            <v>0</v>
          </cell>
        </row>
        <row r="119">
          <cell r="B119" t="str">
            <v>Reso A Funds</v>
          </cell>
          <cell r="C119">
            <v>0</v>
          </cell>
          <cell r="D119">
            <v>0</v>
          </cell>
          <cell r="E119">
            <v>0</v>
          </cell>
        </row>
        <row r="120">
          <cell r="B120" t="str">
            <v>Other (specify)</v>
          </cell>
          <cell r="C120">
            <v>0</v>
          </cell>
          <cell r="D120">
            <v>0</v>
          </cell>
          <cell r="E120">
            <v>0</v>
          </cell>
        </row>
        <row r="121">
          <cell r="B121" t="str">
            <v>Total Equity</v>
          </cell>
          <cell r="C121">
            <v>1900000</v>
          </cell>
          <cell r="D121">
            <v>39583.333333333336</v>
          </cell>
          <cell r="E121">
            <v>0.12613062653263013</v>
          </cell>
        </row>
        <row r="122">
          <cell r="B122" t="str">
            <v>TOTAL CONSTRUCTION SOURCES</v>
          </cell>
          <cell r="C122">
            <v>15063748.212718725</v>
          </cell>
          <cell r="D122">
            <v>313828.08776497346</v>
          </cell>
          <cell r="E122">
            <v>1</v>
          </cell>
        </row>
        <row r="130">
          <cell r="B130" t="str">
            <v>Permanent Sources of Funds</v>
          </cell>
          <cell r="C130" t="str">
            <v>Total</v>
          </cell>
          <cell r="D130" t="str">
            <v>Per DU</v>
          </cell>
          <cell r="E130" t="str">
            <v>% of TDC</v>
          </cell>
          <cell r="F130" t="str">
            <v>Rate</v>
          </cell>
          <cell r="G130" t="str">
            <v>Term</v>
          </cell>
        </row>
        <row r="131">
          <cell r="B131" t="str">
            <v>HDC First</v>
          </cell>
          <cell r="C131">
            <v>6665000</v>
          </cell>
          <cell r="D131">
            <v>138854.16666666666</v>
          </cell>
          <cell r="E131">
            <v>0.44245296096841041</v>
          </cell>
          <cell r="F131">
            <v>6.7500000000000004E-2</v>
          </cell>
          <cell r="G131">
            <v>30</v>
          </cell>
        </row>
        <row r="132">
          <cell r="B132" t="str">
            <v>HDC Second</v>
          </cell>
          <cell r="C132">
            <v>3600000</v>
          </cell>
          <cell r="D132">
            <v>75000</v>
          </cell>
          <cell r="E132">
            <v>0.23898434500919391</v>
          </cell>
          <cell r="F132">
            <v>0.01</v>
          </cell>
          <cell r="G132">
            <v>30</v>
          </cell>
        </row>
        <row r="133">
          <cell r="B133" t="str">
            <v>HPD City Capital</v>
          </cell>
          <cell r="C133">
            <v>1278059.2127187252</v>
          </cell>
          <cell r="D133">
            <v>26626.233598306775</v>
          </cell>
          <cell r="E133">
            <v>8.4843373287375165E-2</v>
          </cell>
          <cell r="F133">
            <v>0.01</v>
          </cell>
          <cell r="G133">
            <v>30</v>
          </cell>
        </row>
        <row r="134">
          <cell r="B134" t="str">
            <v>HPD HOME</v>
          </cell>
          <cell r="C134">
            <v>1620689</v>
          </cell>
          <cell r="D134">
            <v>33764.354166666664</v>
          </cell>
          <cell r="E134">
            <v>0.10758869420239041</v>
          </cell>
          <cell r="F134">
            <v>0</v>
          </cell>
          <cell r="G134">
            <v>20</v>
          </cell>
        </row>
        <row r="135">
          <cell r="B135" t="str">
            <v>Other (specify)</v>
          </cell>
          <cell r="C135">
            <v>0</v>
          </cell>
          <cell r="D135">
            <v>0</v>
          </cell>
          <cell r="E135">
            <v>0</v>
          </cell>
        </row>
        <row r="136">
          <cell r="B136" t="str">
            <v>Total Mortgages</v>
          </cell>
          <cell r="C136">
            <v>13163748.212718725</v>
          </cell>
          <cell r="D136">
            <v>274244.75443164009</v>
          </cell>
          <cell r="E136">
            <v>0.87386937346736993</v>
          </cell>
        </row>
        <row r="138">
          <cell r="B138" t="str">
            <v>Tax Credit Equity</v>
          </cell>
          <cell r="C138">
            <v>0</v>
          </cell>
          <cell r="D138">
            <v>0</v>
          </cell>
          <cell r="E138">
            <v>0</v>
          </cell>
        </row>
        <row r="139">
          <cell r="B139" t="str">
            <v>Developer Equity</v>
          </cell>
          <cell r="C139">
            <v>1900000</v>
          </cell>
          <cell r="D139">
            <v>39583.333333333336</v>
          </cell>
          <cell r="E139">
            <v>0.12613062653263013</v>
          </cell>
        </row>
        <row r="140">
          <cell r="B140" t="str">
            <v>Deferred Developer Fee</v>
          </cell>
          <cell r="C140">
            <v>0</v>
          </cell>
          <cell r="D140">
            <v>0</v>
          </cell>
          <cell r="E140">
            <v>0</v>
          </cell>
        </row>
        <row r="141">
          <cell r="B141" t="str">
            <v>Reso A Funds</v>
          </cell>
          <cell r="C141">
            <v>0</v>
          </cell>
          <cell r="D141">
            <v>0</v>
          </cell>
          <cell r="E141">
            <v>0</v>
          </cell>
        </row>
        <row r="142">
          <cell r="B142" t="str">
            <v>Other (specify)</v>
          </cell>
          <cell r="C142">
            <v>0</v>
          </cell>
          <cell r="D142">
            <v>0</v>
          </cell>
          <cell r="E142">
            <v>0</v>
          </cell>
        </row>
        <row r="143">
          <cell r="B143" t="str">
            <v>Total Equity</v>
          </cell>
          <cell r="C143">
            <v>1900000</v>
          </cell>
          <cell r="D143">
            <v>39583.333333333336</v>
          </cell>
          <cell r="E143">
            <v>0.12613062653263013</v>
          </cell>
        </row>
        <row r="144">
          <cell r="B144" t="str">
            <v>TOTAL PERMANENT SOURCES</v>
          </cell>
          <cell r="C144">
            <v>15063748.212718725</v>
          </cell>
          <cell r="D144">
            <v>313828.08776497346</v>
          </cell>
          <cell r="E144">
            <v>1</v>
          </cell>
        </row>
        <row r="146">
          <cell r="B146" t="str">
            <v>Balloon on HDC Second Mortgage</v>
          </cell>
          <cell r="C146">
            <v>3600000.0000000005</v>
          </cell>
          <cell r="D146">
            <v>0</v>
          </cell>
        </row>
        <row r="148">
          <cell r="B148" t="str">
            <v>Balloon on HPD Second Mortgage</v>
          </cell>
          <cell r="C148">
            <v>885727.53749297361</v>
          </cell>
          <cell r="D148">
            <v>0</v>
          </cell>
        </row>
        <row r="150">
          <cell r="B150" t="str">
            <v>Balloon on HOME Loan</v>
          </cell>
          <cell r="C150">
            <v>0</v>
          </cell>
          <cell r="D150">
            <v>0</v>
          </cell>
        </row>
        <row r="152">
          <cell r="B152" t="str">
            <v xml:space="preserve"> Amount of HOME Funds per HOME DU  </v>
          </cell>
          <cell r="C152">
            <v>147335.36363636365</v>
          </cell>
          <cell r="D152">
            <v>147335.36363636365</v>
          </cell>
        </row>
        <row r="156">
          <cell r="H156" t="str">
            <v>Unit Distribution by Rent Level</v>
          </cell>
        </row>
        <row r="157">
          <cell r="H157" t="str">
            <v>Size of Unit</v>
          </cell>
          <cell r="I157" t="str">
            <v>Total # of Units</v>
          </cell>
          <cell r="J157" t="str">
            <v>Market Rate</v>
          </cell>
          <cell r="K157" t="str">
            <v>High HOME (58% AMI)</v>
          </cell>
          <cell r="L157" t="str">
            <v>Low HOME (48% AMI)</v>
          </cell>
          <cell r="M157" t="str">
            <v>Tax Credit (60%)</v>
          </cell>
          <cell r="N157" t="str">
            <v>Tax Credit (50%)</v>
          </cell>
        </row>
        <row r="158">
          <cell r="H158" t="str">
            <v>Studio</v>
          </cell>
          <cell r="I158">
            <v>25</v>
          </cell>
          <cell r="J158">
            <v>21</v>
          </cell>
          <cell r="K158">
            <v>3</v>
          </cell>
          <cell r="L158">
            <v>1</v>
          </cell>
          <cell r="M158">
            <v>0</v>
          </cell>
          <cell r="N158">
            <v>0</v>
          </cell>
        </row>
        <row r="159">
          <cell r="H159" t="str">
            <v>1-Bdrm</v>
          </cell>
          <cell r="I159">
            <v>5</v>
          </cell>
          <cell r="J159">
            <v>2</v>
          </cell>
          <cell r="K159">
            <v>2</v>
          </cell>
          <cell r="L159">
            <v>1</v>
          </cell>
          <cell r="M159">
            <v>0</v>
          </cell>
          <cell r="N159">
            <v>0</v>
          </cell>
        </row>
        <row r="160">
          <cell r="H160" t="str">
            <v>2-Bdrm</v>
          </cell>
          <cell r="I160">
            <v>18</v>
          </cell>
          <cell r="J160">
            <v>14</v>
          </cell>
          <cell r="K160">
            <v>3</v>
          </cell>
          <cell r="L160">
            <v>1</v>
          </cell>
          <cell r="M160">
            <v>0</v>
          </cell>
          <cell r="N160">
            <v>0</v>
          </cell>
        </row>
        <row r="161">
          <cell r="H161" t="str">
            <v>3-Bdrm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H162" t="str">
            <v>4-Bdrm</v>
          </cell>
          <cell r="I162">
            <v>0</v>
          </cell>
        </row>
        <row r="163">
          <cell r="H163" t="str">
            <v>Total</v>
          </cell>
          <cell r="I163">
            <v>48</v>
          </cell>
          <cell r="J163">
            <v>37</v>
          </cell>
          <cell r="K163">
            <v>8</v>
          </cell>
          <cell r="L163">
            <v>3</v>
          </cell>
          <cell r="M163">
            <v>0</v>
          </cell>
          <cell r="N163">
            <v>0</v>
          </cell>
        </row>
        <row r="169">
          <cell r="H169" t="str">
            <v>Unit Distribution by Monthly Rent</v>
          </cell>
        </row>
        <row r="170">
          <cell r="H170" t="str">
            <v>Size of Unit</v>
          </cell>
          <cell r="I170" t="str">
            <v>Total # of Units</v>
          </cell>
          <cell r="J170" t="str">
            <v>Market Rate</v>
          </cell>
          <cell r="K170" t="str">
            <v>High HOME (58% AMI)</v>
          </cell>
          <cell r="L170" t="str">
            <v>Low HOME (48% AMI)</v>
          </cell>
          <cell r="M170" t="str">
            <v>Tax Credit</v>
          </cell>
          <cell r="N170" t="str">
            <v>Other</v>
          </cell>
          <cell r="O170" t="str">
            <v>Average Rent by Unit Size</v>
          </cell>
        </row>
        <row r="171">
          <cell r="H171" t="str">
            <v>Studio</v>
          </cell>
          <cell r="I171">
            <v>25</v>
          </cell>
          <cell r="J171">
            <v>1019</v>
          </cell>
          <cell r="K171">
            <v>742</v>
          </cell>
          <cell r="L171">
            <v>576</v>
          </cell>
          <cell r="M171">
            <v>0</v>
          </cell>
          <cell r="N171">
            <v>0</v>
          </cell>
          <cell r="O171">
            <v>968.04</v>
          </cell>
        </row>
        <row r="172">
          <cell r="H172" t="str">
            <v>1-Bdrm</v>
          </cell>
          <cell r="I172">
            <v>5</v>
          </cell>
          <cell r="J172">
            <v>1475</v>
          </cell>
          <cell r="K172">
            <v>796</v>
          </cell>
          <cell r="L172">
            <v>616</v>
          </cell>
          <cell r="M172">
            <v>1031.5999999999999</v>
          </cell>
          <cell r="N172">
            <v>0</v>
          </cell>
          <cell r="O172">
            <v>1031.5999999999999</v>
          </cell>
        </row>
        <row r="173">
          <cell r="H173" t="str">
            <v>2-Bdrm</v>
          </cell>
          <cell r="I173">
            <v>18</v>
          </cell>
          <cell r="J173">
            <v>1775</v>
          </cell>
          <cell r="K173">
            <v>962</v>
          </cell>
          <cell r="L173">
            <v>743</v>
          </cell>
          <cell r="M173">
            <v>1582.1666666666667</v>
          </cell>
          <cell r="N173">
            <v>0</v>
          </cell>
          <cell r="O173">
            <v>1582.1666666666667</v>
          </cell>
        </row>
        <row r="174">
          <cell r="H174" t="str">
            <v>3-Bdrm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H175" t="str">
            <v>4-Bdrm</v>
          </cell>
          <cell r="I175">
            <v>0</v>
          </cell>
        </row>
        <row r="176">
          <cell r="H176" t="str">
            <v>Total</v>
          </cell>
          <cell r="I176">
            <v>48</v>
          </cell>
          <cell r="J176">
            <v>1204.9583333333333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1204.9583333333333</v>
          </cell>
        </row>
        <row r="181">
          <cell r="H181" t="str">
            <v>Average Size of Units</v>
          </cell>
          <cell r="I181" t="str">
            <v>Studio</v>
          </cell>
          <cell r="J181" t="str">
            <v>1 BR</v>
          </cell>
          <cell r="K181" t="str">
            <v>2 BR</v>
          </cell>
          <cell r="L181" t="str">
            <v>3 BR</v>
          </cell>
          <cell r="M181" t="str">
            <v>4 BR</v>
          </cell>
          <cell r="N181" t="str">
            <v>Average all Units</v>
          </cell>
        </row>
        <row r="182">
          <cell r="H182" t="str">
            <v>(Net Sq Ft)</v>
          </cell>
          <cell r="I182">
            <v>479</v>
          </cell>
          <cell r="J182">
            <v>728</v>
          </cell>
          <cell r="K182">
            <v>902</v>
          </cell>
          <cell r="L182">
            <v>0</v>
          </cell>
          <cell r="M182">
            <v>0</v>
          </cell>
          <cell r="N182">
            <v>663.5625</v>
          </cell>
        </row>
        <row r="188">
          <cell r="H188" t="str">
            <v>Residential Data</v>
          </cell>
        </row>
        <row r="190">
          <cell r="H190" t="str">
            <v>Annual</v>
          </cell>
          <cell r="I190" t="str">
            <v xml:space="preserve"> Rent</v>
          </cell>
          <cell r="J190" t="str">
            <v>Expenses</v>
          </cell>
        </row>
        <row r="191">
          <cell r="H191" t="str">
            <v>Per DU</v>
          </cell>
          <cell r="I191">
            <v>14459.5</v>
          </cell>
          <cell r="J191">
            <v>4749.416666666667</v>
          </cell>
        </row>
        <row r="192">
          <cell r="H192" t="str">
            <v>Per Room</v>
          </cell>
          <cell r="I192">
            <v>5066.1021897810215</v>
          </cell>
          <cell r="J192">
            <v>1664.0291970802921</v>
          </cell>
        </row>
        <row r="193">
          <cell r="H193" t="str">
            <v>Per NSF</v>
          </cell>
          <cell r="I193">
            <v>21.790713007440896</v>
          </cell>
          <cell r="J193">
            <v>7.1574518853411195</v>
          </cell>
        </row>
        <row r="195">
          <cell r="H195" t="str">
            <v>Monthly</v>
          </cell>
          <cell r="I195" t="str">
            <v xml:space="preserve"> Rent</v>
          </cell>
          <cell r="J195" t="str">
            <v>Expenses</v>
          </cell>
        </row>
        <row r="196">
          <cell r="H196" t="str">
            <v>Per DU</v>
          </cell>
          <cell r="I196">
            <v>1204.9583333333333</v>
          </cell>
          <cell r="J196">
            <v>395.78472222222223</v>
          </cell>
        </row>
        <row r="197">
          <cell r="H197" t="str">
            <v>Per Room</v>
          </cell>
          <cell r="I197">
            <v>422.17518248175179</v>
          </cell>
          <cell r="J197">
            <v>138.669099756691</v>
          </cell>
        </row>
        <row r="201">
          <cell r="H201" t="str">
            <v>Non-Residential Revenues</v>
          </cell>
        </row>
        <row r="202">
          <cell r="H202" t="str">
            <v>Commercial Space</v>
          </cell>
          <cell r="I202">
            <v>30</v>
          </cell>
          <cell r="J202">
            <v>30</v>
          </cell>
          <cell r="K202" t="str">
            <v>Annual Rent/s.f.</v>
          </cell>
        </row>
        <row r="203">
          <cell r="H203" t="str">
            <v>Community Space</v>
          </cell>
          <cell r="I203">
            <v>0</v>
          </cell>
          <cell r="J203">
            <v>0</v>
          </cell>
          <cell r="K203" t="str">
            <v>Annual Rent/s.f.</v>
          </cell>
        </row>
        <row r="204">
          <cell r="H204" t="str">
            <v>Parking</v>
          </cell>
          <cell r="I204">
            <v>0</v>
          </cell>
          <cell r="J204">
            <v>0</v>
          </cell>
          <cell r="K204" t="str">
            <v>Per space/month</v>
          </cell>
        </row>
        <row r="205">
          <cell r="H205" t="str">
            <v>Laundry</v>
          </cell>
          <cell r="I205">
            <v>100</v>
          </cell>
          <cell r="J205">
            <v>100</v>
          </cell>
          <cell r="K205" t="str">
            <v>Annual per unit</v>
          </cell>
        </row>
        <row r="225">
          <cell r="B225" t="str">
            <v>Operating Budget</v>
          </cell>
          <cell r="C225" t="str">
            <v>Annual Amount</v>
          </cell>
          <cell r="D225" t="str">
            <v>Comments</v>
          </cell>
        </row>
        <row r="226">
          <cell r="B226" t="str">
            <v xml:space="preserve">  Residential Rent</v>
          </cell>
          <cell r="C226">
            <v>694056</v>
          </cell>
        </row>
        <row r="227">
          <cell r="B227" t="str">
            <v xml:space="preserve">  Vacancy and Collection Loss</v>
          </cell>
          <cell r="C227">
            <v>-34702.800000000003</v>
          </cell>
          <cell r="D227">
            <v>0.05</v>
          </cell>
        </row>
        <row r="228">
          <cell r="B228" t="str">
            <v xml:space="preserve">  Commercial Rent</v>
          </cell>
          <cell r="C228">
            <v>265200</v>
          </cell>
          <cell r="D228">
            <v>0</v>
          </cell>
        </row>
        <row r="229">
          <cell r="B229" t="str">
            <v xml:space="preserve">  Vacancy and Collection Loss</v>
          </cell>
          <cell r="C229">
            <v>-26520</v>
          </cell>
          <cell r="D229">
            <v>0.1</v>
          </cell>
        </row>
        <row r="230">
          <cell r="B230" t="str">
            <v xml:space="preserve">  Community Space</v>
          </cell>
          <cell r="C230">
            <v>0</v>
          </cell>
        </row>
        <row r="231">
          <cell r="B231" t="str">
            <v xml:space="preserve">  Vacancy and Collection Loss</v>
          </cell>
          <cell r="C231">
            <v>0</v>
          </cell>
          <cell r="D231">
            <v>0.1</v>
          </cell>
        </row>
        <row r="232">
          <cell r="B232" t="str">
            <v xml:space="preserve">  Parking</v>
          </cell>
          <cell r="C232">
            <v>0</v>
          </cell>
        </row>
        <row r="233">
          <cell r="B233" t="str">
            <v xml:space="preserve">  Vacancy and Collection Loss</v>
          </cell>
          <cell r="C233">
            <v>0</v>
          </cell>
          <cell r="D233">
            <v>0.1</v>
          </cell>
        </row>
        <row r="234">
          <cell r="B234" t="str">
            <v xml:space="preserve">  Other Income</v>
          </cell>
          <cell r="C234">
            <v>4800</v>
          </cell>
          <cell r="D234" t="str">
            <v xml:space="preserve">Ancillary/Laundry </v>
          </cell>
        </row>
        <row r="235">
          <cell r="B235" t="str">
            <v xml:space="preserve">  Effective Project Income</v>
          </cell>
          <cell r="C235">
            <v>902833.2</v>
          </cell>
        </row>
        <row r="236">
          <cell r="B236" t="str">
            <v xml:space="preserve">  Operating Expenses</v>
          </cell>
          <cell r="C236">
            <v>227972</v>
          </cell>
        </row>
        <row r="237">
          <cell r="B237" t="str">
            <v xml:space="preserve">  Real Estate Taxes</v>
          </cell>
          <cell r="C237">
            <v>9150</v>
          </cell>
          <cell r="D237" t="str">
            <v>421 a</v>
          </cell>
        </row>
        <row r="238">
          <cell r="B238" t="str">
            <v xml:space="preserve">  Net Operating Income</v>
          </cell>
          <cell r="C238">
            <v>665711.19999999995</v>
          </cell>
        </row>
        <row r="239">
          <cell r="B239" t="str">
            <v xml:space="preserve">  First Mortgage Debt Service</v>
          </cell>
          <cell r="C239">
            <v>518748.51990000001</v>
          </cell>
          <cell r="D239" t="str">
            <v xml:space="preserve"> </v>
          </cell>
        </row>
        <row r="240">
          <cell r="B240" t="str">
            <v xml:space="preserve">  Second Mortgage Debt Service</v>
          </cell>
          <cell r="C240">
            <v>60130.784447826038</v>
          </cell>
          <cell r="D240" t="str">
            <v xml:space="preserve"> </v>
          </cell>
        </row>
        <row r="241">
          <cell r="B241" t="str">
            <v xml:space="preserve">  Net Cash to Owner</v>
          </cell>
          <cell r="C241">
            <v>86831.895652173902</v>
          </cell>
        </row>
        <row r="242">
          <cell r="B242" t="str">
            <v xml:space="preserve">  Return on Equity (1st year)</v>
          </cell>
          <cell r="C242">
            <v>4.5700997711670473E-2</v>
          </cell>
        </row>
        <row r="243">
          <cell r="B243" t="str">
            <v xml:space="preserve">  Return on TDC (1st year)</v>
          </cell>
          <cell r="C243">
            <v>4.4192931971467911E-2</v>
          </cell>
        </row>
      </sheetData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 Forma Analysis Summary"/>
      <sheetName val="Sources and Uses"/>
      <sheetName val="Development Bud"/>
      <sheetName val="Cons Int, Neg Arb, LOC"/>
      <sheetName val="Units &amp; Income"/>
      <sheetName val="M and O"/>
      <sheetName val="Mort"/>
      <sheetName val="Cash Flow"/>
      <sheetName val="Tax Credit "/>
      <sheetName val="Tax Credits"/>
      <sheetName val="PreDev Budget"/>
      <sheetName val="Recycled Analysi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Mem1 "/>
      <sheetName val="Mort"/>
      <sheetName val="Rents"/>
      <sheetName val="I&amp;E"/>
      <sheetName val="I&amp;A"/>
      <sheetName val="IA2"/>
      <sheetName val="Calcs"/>
      <sheetName val="Tenant Ltr"/>
      <sheetName val="J-51 TBA"/>
      <sheetName val="421a TBA"/>
      <sheetName val="Art.11 TBA"/>
      <sheetName val="420c TBA"/>
      <sheetName val="CFA"/>
    </sheetNames>
    <sheetDataSet>
      <sheetData sheetId="0" refreshError="1">
        <row r="18">
          <cell r="G18">
            <v>1</v>
          </cell>
        </row>
        <row r="25">
          <cell r="G25">
            <v>2</v>
          </cell>
        </row>
        <row r="94">
          <cell r="M94">
            <v>4</v>
          </cell>
        </row>
        <row r="95">
          <cell r="M95">
            <v>8</v>
          </cell>
        </row>
        <row r="96">
          <cell r="M96">
            <v>11</v>
          </cell>
        </row>
        <row r="97">
          <cell r="M97">
            <v>7</v>
          </cell>
        </row>
        <row r="98">
          <cell r="M9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nyshcr.org/funding/openwindow/2017/" TargetMode="External"/><Relationship Id="rId1" Type="http://schemas.openxmlformats.org/officeDocument/2006/relationships/hyperlink" Target="http://www.nyshcr.org/Funding/HFA/NYS%20Housing%20Finance%20Agency%20Term%20Sheet_7.14.17.pdf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5.bin"/><Relationship Id="rId9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7.bin"/><Relationship Id="rId3" Type="http://schemas.openxmlformats.org/officeDocument/2006/relationships/printerSettings" Target="../printerSettings/printerSettings22.bin"/><Relationship Id="rId7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6" Type="http://schemas.openxmlformats.org/officeDocument/2006/relationships/printerSettings" Target="../printerSettings/printerSettings25.bin"/><Relationship Id="rId5" Type="http://schemas.openxmlformats.org/officeDocument/2006/relationships/printerSettings" Target="../printerSettings/printerSettings24.bin"/><Relationship Id="rId4" Type="http://schemas.openxmlformats.org/officeDocument/2006/relationships/printerSettings" Target="../printerSettings/printerSettings23.bin"/><Relationship Id="rId9" Type="http://schemas.openxmlformats.org/officeDocument/2006/relationships/printerSettings" Target="../printerSettings/printerSettings28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6.bin"/><Relationship Id="rId3" Type="http://schemas.openxmlformats.org/officeDocument/2006/relationships/printerSettings" Target="../printerSettings/printerSettings31.bin"/><Relationship Id="rId7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printerSettings" Target="../printerSettings/printerSettings34.bin"/><Relationship Id="rId5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2.bin"/><Relationship Id="rId9" Type="http://schemas.openxmlformats.org/officeDocument/2006/relationships/printerSettings" Target="../printerSettings/printerSettings3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8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6.bin"/><Relationship Id="rId3" Type="http://schemas.openxmlformats.org/officeDocument/2006/relationships/printerSettings" Target="../printerSettings/printerSettings41.bin"/><Relationship Id="rId7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Relationship Id="rId6" Type="http://schemas.openxmlformats.org/officeDocument/2006/relationships/printerSettings" Target="../printerSettings/printerSettings44.bin"/><Relationship Id="rId5" Type="http://schemas.openxmlformats.org/officeDocument/2006/relationships/printerSettings" Target="../printerSettings/printerSettings43.bin"/><Relationship Id="rId4" Type="http://schemas.openxmlformats.org/officeDocument/2006/relationships/printerSettings" Target="../printerSettings/printerSettings42.bin"/><Relationship Id="rId9" Type="http://schemas.openxmlformats.org/officeDocument/2006/relationships/printerSettings" Target="../printerSettings/printerSettings4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H22"/>
  <sheetViews>
    <sheetView tabSelected="1" zoomScaleNormal="100" workbookViewId="0">
      <selection activeCell="J11" sqref="J11"/>
    </sheetView>
  </sheetViews>
  <sheetFormatPr defaultRowHeight="14.25"/>
  <cols>
    <col min="1" max="6" width="8.88671875" style="1037"/>
    <col min="7" max="7" width="6.21875" style="1037" customWidth="1"/>
    <col min="8" max="16384" width="8.88671875" style="1037"/>
  </cols>
  <sheetData>
    <row r="10" spans="1:8" ht="15">
      <c r="B10" s="1038" t="s">
        <v>420</v>
      </c>
    </row>
    <row r="12" spans="1:8" ht="15" customHeight="1">
      <c r="A12" s="1039" t="s">
        <v>404</v>
      </c>
      <c r="B12" s="1096" t="s">
        <v>413</v>
      </c>
      <c r="C12" s="1096"/>
      <c r="D12" s="1096"/>
      <c r="E12" s="1096"/>
      <c r="F12" s="1096"/>
      <c r="G12" s="1096"/>
      <c r="H12" s="1040"/>
    </row>
    <row r="13" spans="1:8">
      <c r="A13" s="1041"/>
    </row>
    <row r="14" spans="1:8">
      <c r="A14" s="1041" t="s">
        <v>405</v>
      </c>
      <c r="B14" s="1097" t="s">
        <v>406</v>
      </c>
      <c r="C14" s="1097"/>
      <c r="D14" s="1097"/>
      <c r="E14" s="1097"/>
      <c r="F14" s="1097"/>
      <c r="G14" s="1097"/>
      <c r="H14" s="1042"/>
    </row>
    <row r="15" spans="1:8">
      <c r="A15" s="1041"/>
    </row>
    <row r="16" spans="1:8" ht="30.75" customHeight="1">
      <c r="A16" s="1039" t="s">
        <v>407</v>
      </c>
      <c r="B16" s="1098" t="s">
        <v>409</v>
      </c>
      <c r="C16" s="1098"/>
      <c r="D16" s="1098"/>
      <c r="E16" s="1098"/>
      <c r="F16" s="1098"/>
      <c r="G16" s="1098"/>
      <c r="H16" s="1043"/>
    </row>
    <row r="17" spans="1:8">
      <c r="A17" s="1041"/>
      <c r="B17" s="1044"/>
      <c r="C17" s="1044"/>
      <c r="D17" s="1044"/>
      <c r="E17" s="1044"/>
      <c r="F17" s="1044"/>
      <c r="G17" s="1044"/>
      <c r="H17" s="1043"/>
    </row>
    <row r="18" spans="1:8" ht="28.5" customHeight="1">
      <c r="A18" s="1039" t="s">
        <v>408</v>
      </c>
      <c r="B18" s="1096" t="s">
        <v>82</v>
      </c>
      <c r="C18" s="1096"/>
      <c r="D18" s="1096"/>
      <c r="E18" s="1096"/>
      <c r="F18" s="1096"/>
      <c r="G18" s="1096"/>
    </row>
    <row r="20" spans="1:8" ht="17.25" customHeight="1">
      <c r="A20" s="1041" t="s">
        <v>410</v>
      </c>
      <c r="B20" s="1037" t="s">
        <v>412</v>
      </c>
    </row>
    <row r="21" spans="1:8">
      <c r="B21" s="1045" t="s">
        <v>411</v>
      </c>
    </row>
    <row r="22" spans="1:8">
      <c r="B22" s="1045" t="s">
        <v>418</v>
      </c>
    </row>
  </sheetData>
  <mergeCells count="4">
    <mergeCell ref="B12:G12"/>
    <mergeCell ref="B14:G14"/>
    <mergeCell ref="B16:G16"/>
    <mergeCell ref="B18:G18"/>
  </mergeCells>
  <hyperlinks>
    <hyperlink ref="B21" r:id="rId1" display="http://www.nyshcr.org/Funding/HFA/NYS Housing Finance Agency Term Sheet_7.14.17.pdf"/>
    <hyperlink ref="B22" r:id="rId2"/>
  </hyperlinks>
  <pageMargins left="0.7" right="0.7" top="0.75" bottom="0.75" header="0.3" footer="0.3"/>
  <pageSetup orientation="portrait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63"/>
  <sheetViews>
    <sheetView view="pageBreakPreview" zoomScale="90" zoomScaleNormal="100" zoomScaleSheetLayoutView="90" workbookViewId="0">
      <pane xSplit="4" ySplit="14" topLeftCell="E90" activePane="bottomRight" state="frozen"/>
      <selection pane="topRight" activeCell="D1" sqref="D1"/>
      <selection pane="bottomLeft" activeCell="A11" sqref="A11"/>
      <selection pane="bottomRight" activeCell="C8" sqref="C8"/>
    </sheetView>
  </sheetViews>
  <sheetFormatPr defaultColWidth="7.109375" defaultRowHeight="15.75" outlineLevelCol="1"/>
  <cols>
    <col min="1" max="1" width="4.88671875" style="1004" customWidth="1"/>
    <col min="2" max="2" width="22.33203125" style="118" customWidth="1"/>
    <col min="3" max="3" width="14.88671875" style="118" customWidth="1"/>
    <col min="4" max="6" width="10.88671875" style="118" customWidth="1"/>
    <col min="7" max="7" width="14.44140625" style="118" bestFit="1" customWidth="1"/>
    <col min="8" max="8" width="9.21875" style="118" hidden="1" customWidth="1" outlineLevel="1"/>
    <col min="9" max="9" width="10.88671875" style="118" hidden="1" customWidth="1" outlineLevel="1"/>
    <col min="10" max="10" width="17.44140625" style="118" bestFit="1" customWidth="1" collapsed="1"/>
    <col min="11" max="11" width="9.88671875" style="118" bestFit="1" customWidth="1"/>
    <col min="12" max="12" width="11.33203125" style="118" customWidth="1"/>
    <col min="13" max="13" width="11.109375" style="118" customWidth="1"/>
    <col min="14" max="14" width="7.109375" style="1004"/>
    <col min="15" max="18" width="9.88671875" style="1004" bestFit="1" customWidth="1"/>
    <col min="19" max="19" width="7.109375" style="1004"/>
    <col min="20" max="20" width="9.88671875" style="1004" bestFit="1" customWidth="1"/>
    <col min="21" max="21" width="7.109375" style="1004"/>
    <col min="22" max="16384" width="7.109375" style="118"/>
  </cols>
  <sheetData>
    <row r="1" spans="1:21" s="238" customFormat="1">
      <c r="B1" s="1101" t="str">
        <f>'Sources and Uses'!B1</f>
        <v>Project Site: Insert Site Name</v>
      </c>
      <c r="C1" s="1101"/>
      <c r="E1" s="744"/>
      <c r="F1" s="744"/>
      <c r="G1" s="744"/>
      <c r="H1" s="744"/>
    </row>
    <row r="2" spans="1:21" s="238" customFormat="1">
      <c r="B2" s="1101" t="str">
        <f>'Sources and Uses'!B2</f>
        <v>Development Team: Insert Team Name</v>
      </c>
      <c r="C2" s="1101"/>
      <c r="E2" s="744"/>
      <c r="F2" s="744"/>
      <c r="G2" s="744"/>
      <c r="H2" s="744"/>
    </row>
    <row r="3" spans="1:21" s="1003" customFormat="1" ht="25.5" customHeight="1">
      <c r="B3" s="1116" t="s">
        <v>265</v>
      </c>
      <c r="C3" s="1116"/>
      <c r="D3" s="1116"/>
      <c r="E3" s="1116"/>
      <c r="F3" s="1116"/>
      <c r="G3" s="1116"/>
      <c r="H3" s="1116"/>
      <c r="I3" s="1116"/>
      <c r="J3" s="1116"/>
      <c r="K3" s="1116"/>
      <c r="L3" s="1116"/>
      <c r="M3" s="1116"/>
      <c r="P3" s="1005"/>
      <c r="Q3" s="1005"/>
    </row>
    <row r="4" spans="1:21" s="138" customFormat="1">
      <c r="A4" s="1003"/>
      <c r="B4" s="141" t="s">
        <v>255</v>
      </c>
      <c r="C4" s="1036"/>
      <c r="D4" s="139"/>
      <c r="E4" s="140" t="s">
        <v>254</v>
      </c>
      <c r="F4" s="1035"/>
      <c r="G4" s="1027"/>
      <c r="H4" s="1028"/>
      <c r="I4" s="1027"/>
      <c r="J4" s="1027"/>
      <c r="K4" s="1036"/>
      <c r="L4" s="1003"/>
      <c r="N4" s="1003"/>
      <c r="O4" s="1003"/>
      <c r="P4" s="1005"/>
      <c r="Q4" s="1005"/>
      <c r="R4" s="1003"/>
      <c r="S4" s="1003"/>
      <c r="T4" s="1003"/>
      <c r="U4" s="1003"/>
    </row>
    <row r="5" spans="1:21" s="138" customFormat="1" ht="15">
      <c r="A5" s="1003"/>
      <c r="B5" s="144" t="s">
        <v>172</v>
      </c>
      <c r="C5" s="147">
        <f>Mortgage!C52</f>
        <v>0</v>
      </c>
      <c r="D5" s="1014"/>
      <c r="E5" s="1015" t="s">
        <v>239</v>
      </c>
      <c r="F5" s="1016"/>
      <c r="G5" s="1016"/>
      <c r="H5" s="1017"/>
      <c r="I5" s="1016"/>
      <c r="J5" s="1016"/>
      <c r="K5" s="1018">
        <f>Mortgage!C34</f>
        <v>4.8500000000000001E-2</v>
      </c>
      <c r="L5" s="1003"/>
      <c r="M5" s="1003"/>
      <c r="N5" s="1003"/>
      <c r="O5" s="1003"/>
      <c r="P5" s="1005"/>
      <c r="Q5" s="1005"/>
      <c r="R5" s="1003"/>
      <c r="S5" s="1003"/>
      <c r="T5" s="1003"/>
      <c r="U5" s="1003"/>
    </row>
    <row r="6" spans="1:21" s="138" customFormat="1" ht="15">
      <c r="A6" s="1003"/>
      <c r="B6" s="145" t="s">
        <v>256</v>
      </c>
      <c r="C6" s="869"/>
      <c r="D6" s="1019"/>
      <c r="E6" s="1020" t="s">
        <v>249</v>
      </c>
      <c r="F6" s="1021"/>
      <c r="G6" s="1021"/>
      <c r="H6" s="1021"/>
      <c r="I6" s="1021"/>
      <c r="J6" s="1021"/>
      <c r="K6" s="1022">
        <v>0</v>
      </c>
      <c r="L6" s="1003"/>
      <c r="M6" s="1003"/>
      <c r="N6" s="1003"/>
      <c r="O6" s="1003"/>
      <c r="P6" s="1005"/>
      <c r="Q6" s="1005"/>
      <c r="R6" s="1003"/>
      <c r="S6" s="1003"/>
      <c r="T6" s="1003"/>
      <c r="U6" s="1003"/>
    </row>
    <row r="7" spans="1:21" s="138" customFormat="1" ht="15">
      <c r="A7" s="1003"/>
      <c r="B7" s="145" t="s">
        <v>258</v>
      </c>
      <c r="C7" s="143">
        <v>30</v>
      </c>
      <c r="D7" s="1023"/>
      <c r="E7" s="1020" t="s">
        <v>250</v>
      </c>
      <c r="F7" s="1021"/>
      <c r="G7" s="1021"/>
      <c r="H7" s="1021"/>
      <c r="I7" s="1021"/>
      <c r="J7" s="1024" t="s">
        <v>111</v>
      </c>
      <c r="K7" s="1022">
        <f>Mortgage!C35</f>
        <v>2.5000000000000001E-3</v>
      </c>
      <c r="L7" s="1003"/>
      <c r="M7" s="1003"/>
      <c r="N7" s="1003"/>
      <c r="O7" s="1003"/>
      <c r="P7" s="1005"/>
      <c r="Q7" s="1005"/>
      <c r="R7" s="1003"/>
      <c r="S7" s="1003"/>
      <c r="T7" s="1003"/>
      <c r="U7" s="1003"/>
    </row>
    <row r="8" spans="1:21" s="138" customFormat="1" ht="15">
      <c r="A8" s="1003"/>
      <c r="B8" s="145" t="s">
        <v>257</v>
      </c>
      <c r="C8" s="870"/>
      <c r="D8" s="1019"/>
      <c r="E8" s="1020" t="s">
        <v>250</v>
      </c>
      <c r="F8" s="1021"/>
      <c r="G8" s="1021"/>
      <c r="H8" s="1021"/>
      <c r="I8" s="1021"/>
      <c r="J8" s="1024" t="s">
        <v>134</v>
      </c>
      <c r="K8" s="1022">
        <f>Mortgage!C38</f>
        <v>5.0000000000000001E-3</v>
      </c>
      <c r="L8" s="1003"/>
      <c r="M8" s="1003"/>
      <c r="N8" s="1003"/>
      <c r="O8" s="1003"/>
      <c r="P8" s="1005"/>
      <c r="Q8" s="1005"/>
      <c r="R8" s="1003"/>
      <c r="S8" s="1003"/>
      <c r="T8" s="1003"/>
      <c r="U8" s="1003"/>
    </row>
    <row r="9" spans="1:21" s="138" customFormat="1" ht="15">
      <c r="A9" s="1003"/>
      <c r="B9" s="146" t="s">
        <v>251</v>
      </c>
      <c r="C9" s="871">
        <v>30</v>
      </c>
      <c r="D9" s="1019"/>
      <c r="E9" s="1020" t="s">
        <v>250</v>
      </c>
      <c r="F9" s="1021"/>
      <c r="G9" s="1021"/>
      <c r="H9" s="1021"/>
      <c r="I9" s="1021"/>
      <c r="J9" s="1024" t="s">
        <v>314</v>
      </c>
      <c r="K9" s="1022">
        <v>0</v>
      </c>
      <c r="L9" s="1003"/>
      <c r="M9" s="1003"/>
      <c r="N9" s="1003"/>
      <c r="O9" s="1003"/>
      <c r="P9" s="1005"/>
      <c r="Q9" s="1005"/>
      <c r="R9" s="1003"/>
      <c r="S9" s="1003"/>
      <c r="T9" s="1003"/>
      <c r="U9" s="1003"/>
    </row>
    <row r="10" spans="1:21" s="1003" customFormat="1" ht="15">
      <c r="D10" s="1025"/>
      <c r="E10" s="1026" t="s">
        <v>252</v>
      </c>
      <c r="F10" s="1027"/>
      <c r="G10" s="1027"/>
      <c r="H10" s="1028"/>
      <c r="I10" s="1027"/>
      <c r="J10" s="1027"/>
      <c r="K10" s="1029">
        <v>0</v>
      </c>
      <c r="P10" s="1005"/>
      <c r="Q10" s="1005"/>
    </row>
    <row r="11" spans="1:21" s="1003" customFormat="1">
      <c r="B11" s="1034"/>
      <c r="C11" s="1030"/>
      <c r="D11" s="1030"/>
      <c r="E11" s="1031" t="s">
        <v>253</v>
      </c>
      <c r="F11" s="1032"/>
      <c r="G11" s="1032"/>
      <c r="H11" s="1032"/>
      <c r="I11" s="1032"/>
      <c r="J11" s="1032"/>
      <c r="K11" s="1033">
        <f>SUM(K5:K10)</f>
        <v>5.6000000000000001E-2</v>
      </c>
      <c r="P11" s="1005"/>
      <c r="Q11" s="1005"/>
    </row>
    <row r="12" spans="1:21">
      <c r="B12" s="229"/>
      <c r="C12" s="229"/>
      <c r="D12" s="229"/>
      <c r="E12" s="230" t="s">
        <v>317</v>
      </c>
      <c r="F12" s="229"/>
      <c r="G12" s="229"/>
      <c r="H12" s="229"/>
      <c r="I12" s="229"/>
      <c r="J12" s="229"/>
      <c r="K12" s="229"/>
      <c r="L12" s="229"/>
      <c r="M12" s="229"/>
      <c r="O12" s="1006"/>
    </row>
    <row r="13" spans="1:21" ht="15" customHeight="1">
      <c r="B13" s="1114" t="s">
        <v>232</v>
      </c>
      <c r="C13" s="1114" t="s">
        <v>196</v>
      </c>
      <c r="D13" s="1114" t="s">
        <v>233</v>
      </c>
      <c r="E13" s="1114" t="s">
        <v>58</v>
      </c>
      <c r="F13" s="1114" t="s">
        <v>234</v>
      </c>
      <c r="G13" s="1114" t="s">
        <v>260</v>
      </c>
      <c r="H13" s="1114" t="s">
        <v>315</v>
      </c>
      <c r="I13" s="1114" t="s">
        <v>249</v>
      </c>
      <c r="J13" s="1114" t="s">
        <v>261</v>
      </c>
      <c r="K13" s="1114" t="s">
        <v>316</v>
      </c>
      <c r="L13" s="1114" t="s">
        <v>259</v>
      </c>
      <c r="M13" s="1114" t="s">
        <v>236</v>
      </c>
    </row>
    <row r="14" spans="1:21" ht="36.75" customHeight="1" thickBot="1">
      <c r="B14" s="1115"/>
      <c r="C14" s="1115"/>
      <c r="D14" s="1115"/>
      <c r="E14" s="1115"/>
      <c r="F14" s="1115"/>
      <c r="G14" s="1115"/>
      <c r="H14" s="1115"/>
      <c r="I14" s="1115"/>
      <c r="J14" s="1115" t="s">
        <v>235</v>
      </c>
      <c r="K14" s="1115"/>
      <c r="L14" s="1115"/>
      <c r="M14" s="1115"/>
    </row>
    <row r="15" spans="1:21">
      <c r="B15" s="137">
        <v>0</v>
      </c>
      <c r="C15" s="142">
        <f>C6</f>
        <v>0</v>
      </c>
      <c r="D15" s="148"/>
      <c r="E15" s="148"/>
      <c r="F15" s="148"/>
      <c r="G15" s="148"/>
      <c r="H15" s="228"/>
      <c r="I15" s="148"/>
      <c r="J15" s="148"/>
      <c r="K15" s="148"/>
      <c r="L15" s="149"/>
      <c r="M15" s="149"/>
    </row>
    <row r="16" spans="1:21">
      <c r="B16" s="121">
        <f t="shared" ref="B16" si="0">B15+1</f>
        <v>1</v>
      </c>
      <c r="C16" s="233">
        <f t="shared" ref="C16:C63" si="1">EDATE(C15,1)</f>
        <v>31</v>
      </c>
      <c r="D16" s="234">
        <f t="shared" ref="D16:D79" si="2">IF(B16=($C$7*12),M15,IF(B16&gt;($C$7*12),0,PPMT($K$5/12,B16,$C$9*12,-$C$5)))</f>
        <v>0</v>
      </c>
      <c r="E16" s="234">
        <f>$C$5*($K$5)/12</f>
        <v>0</v>
      </c>
      <c r="F16" s="234">
        <f>SUM(D16:E16)</f>
        <v>0</v>
      </c>
      <c r="G16" s="234">
        <f>ROUND($C$5*$K$7*YEARFRAC(C15,C16),2)</f>
        <v>0</v>
      </c>
      <c r="H16" s="234">
        <f>ROUND($C$5*$K$9*YEARFRAC(C15,C16),2)</f>
        <v>0</v>
      </c>
      <c r="I16" s="234">
        <f t="shared" ref="I16:I79" si="3">ROUND($K$6*(M16+2*E18+2*G18),2)/12</f>
        <v>0</v>
      </c>
      <c r="J16" s="234">
        <f>ROUND(M27*$K$8*YEARFRAC(C15,C16),2)</f>
        <v>0</v>
      </c>
      <c r="K16" s="234">
        <f>ROUND($K$8*C5,2)</f>
        <v>0</v>
      </c>
      <c r="L16" s="235">
        <f>SUM(F16:J16)</f>
        <v>0</v>
      </c>
      <c r="M16" s="235">
        <f>+C5-D16</f>
        <v>0</v>
      </c>
    </row>
    <row r="17" spans="2:13">
      <c r="B17" s="137">
        <f t="shared" ref="B17:B32" si="4">B16+1</f>
        <v>2</v>
      </c>
      <c r="C17" s="142">
        <f t="shared" si="1"/>
        <v>59</v>
      </c>
      <c r="D17" s="148">
        <f t="shared" si="2"/>
        <v>0</v>
      </c>
      <c r="E17" s="148">
        <f>($K$5)/12*M16</f>
        <v>0</v>
      </c>
      <c r="F17" s="148">
        <f t="shared" ref="F17:F80" si="5">SUM(D17:E17)</f>
        <v>0</v>
      </c>
      <c r="G17" s="148">
        <f>G16</f>
        <v>0</v>
      </c>
      <c r="H17" s="148">
        <f>H16</f>
        <v>0</v>
      </c>
      <c r="I17" s="148">
        <f t="shared" si="3"/>
        <v>0</v>
      </c>
      <c r="J17" s="148">
        <f>J16</f>
        <v>0</v>
      </c>
      <c r="K17" s="148"/>
      <c r="L17" s="149">
        <f>SUM(F17:J17)</f>
        <v>0</v>
      </c>
      <c r="M17" s="149">
        <f t="shared" ref="M17:M80" si="6">+M16-D17</f>
        <v>0</v>
      </c>
    </row>
    <row r="18" spans="2:13">
      <c r="B18" s="137">
        <f t="shared" si="4"/>
        <v>3</v>
      </c>
      <c r="C18" s="142">
        <f t="shared" si="1"/>
        <v>88</v>
      </c>
      <c r="D18" s="148">
        <f t="shared" si="2"/>
        <v>0</v>
      </c>
      <c r="E18" s="148">
        <f t="shared" ref="E18:E81" si="7">($K$5)/12*M17</f>
        <v>0</v>
      </c>
      <c r="F18" s="148">
        <f t="shared" si="5"/>
        <v>0</v>
      </c>
      <c r="G18" s="148">
        <f t="shared" ref="G18:J27" si="8">G17</f>
        <v>0</v>
      </c>
      <c r="H18" s="148">
        <f t="shared" ref="H18" si="9">H17</f>
        <v>0</v>
      </c>
      <c r="I18" s="148">
        <f t="shared" si="3"/>
        <v>0</v>
      </c>
      <c r="J18" s="148">
        <f t="shared" si="8"/>
        <v>0</v>
      </c>
      <c r="K18" s="148"/>
      <c r="L18" s="149">
        <f t="shared" ref="L18:L81" si="10">SUM(F18:J18)</f>
        <v>0</v>
      </c>
      <c r="M18" s="149">
        <f t="shared" si="6"/>
        <v>0</v>
      </c>
    </row>
    <row r="19" spans="2:13">
      <c r="B19" s="137">
        <f t="shared" si="4"/>
        <v>4</v>
      </c>
      <c r="C19" s="142">
        <f t="shared" si="1"/>
        <v>119</v>
      </c>
      <c r="D19" s="148">
        <f t="shared" si="2"/>
        <v>0</v>
      </c>
      <c r="E19" s="148">
        <f t="shared" si="7"/>
        <v>0</v>
      </c>
      <c r="F19" s="148">
        <f t="shared" si="5"/>
        <v>0</v>
      </c>
      <c r="G19" s="148">
        <f t="shared" si="8"/>
        <v>0</v>
      </c>
      <c r="H19" s="148">
        <f t="shared" ref="H19" si="11">H18</f>
        <v>0</v>
      </c>
      <c r="I19" s="148">
        <f t="shared" si="3"/>
        <v>0</v>
      </c>
      <c r="J19" s="148">
        <f t="shared" si="8"/>
        <v>0</v>
      </c>
      <c r="K19" s="148"/>
      <c r="L19" s="149">
        <f t="shared" si="10"/>
        <v>0</v>
      </c>
      <c r="M19" s="149">
        <f t="shared" si="6"/>
        <v>0</v>
      </c>
    </row>
    <row r="20" spans="2:13">
      <c r="B20" s="137">
        <f t="shared" si="4"/>
        <v>5</v>
      </c>
      <c r="C20" s="142">
        <f t="shared" si="1"/>
        <v>149</v>
      </c>
      <c r="D20" s="148">
        <f t="shared" si="2"/>
        <v>0</v>
      </c>
      <c r="E20" s="148">
        <f t="shared" si="7"/>
        <v>0</v>
      </c>
      <c r="F20" s="148">
        <f t="shared" si="5"/>
        <v>0</v>
      </c>
      <c r="G20" s="148">
        <f t="shared" si="8"/>
        <v>0</v>
      </c>
      <c r="H20" s="148">
        <f t="shared" ref="H20" si="12">H19</f>
        <v>0</v>
      </c>
      <c r="I20" s="148">
        <f t="shared" si="3"/>
        <v>0</v>
      </c>
      <c r="J20" s="148">
        <f t="shared" si="8"/>
        <v>0</v>
      </c>
      <c r="K20" s="148"/>
      <c r="L20" s="149">
        <f t="shared" si="10"/>
        <v>0</v>
      </c>
      <c r="M20" s="149">
        <f t="shared" si="6"/>
        <v>0</v>
      </c>
    </row>
    <row r="21" spans="2:13">
      <c r="B21" s="137">
        <f t="shared" si="4"/>
        <v>6</v>
      </c>
      <c r="C21" s="142">
        <f t="shared" si="1"/>
        <v>180</v>
      </c>
      <c r="D21" s="148">
        <f t="shared" si="2"/>
        <v>0</v>
      </c>
      <c r="E21" s="148">
        <f t="shared" si="7"/>
        <v>0</v>
      </c>
      <c r="F21" s="148">
        <f t="shared" si="5"/>
        <v>0</v>
      </c>
      <c r="G21" s="148">
        <f t="shared" si="8"/>
        <v>0</v>
      </c>
      <c r="H21" s="148">
        <f t="shared" ref="H21" si="13">H20</f>
        <v>0</v>
      </c>
      <c r="I21" s="148">
        <f t="shared" si="3"/>
        <v>0</v>
      </c>
      <c r="J21" s="148">
        <f t="shared" si="8"/>
        <v>0</v>
      </c>
      <c r="K21" s="148"/>
      <c r="L21" s="149">
        <f t="shared" si="10"/>
        <v>0</v>
      </c>
      <c r="M21" s="149">
        <f t="shared" si="6"/>
        <v>0</v>
      </c>
    </row>
    <row r="22" spans="2:13">
      <c r="B22" s="137">
        <f t="shared" si="4"/>
        <v>7</v>
      </c>
      <c r="C22" s="142">
        <f t="shared" si="1"/>
        <v>210</v>
      </c>
      <c r="D22" s="148">
        <f t="shared" si="2"/>
        <v>0</v>
      </c>
      <c r="E22" s="148">
        <f t="shared" si="7"/>
        <v>0</v>
      </c>
      <c r="F22" s="148">
        <f t="shared" si="5"/>
        <v>0</v>
      </c>
      <c r="G22" s="148">
        <f t="shared" si="8"/>
        <v>0</v>
      </c>
      <c r="H22" s="148">
        <f t="shared" ref="H22" si="14">H21</f>
        <v>0</v>
      </c>
      <c r="I22" s="148">
        <f t="shared" si="3"/>
        <v>0</v>
      </c>
      <c r="J22" s="148">
        <f t="shared" si="8"/>
        <v>0</v>
      </c>
      <c r="K22" s="148"/>
      <c r="L22" s="149">
        <f t="shared" si="10"/>
        <v>0</v>
      </c>
      <c r="M22" s="149">
        <f t="shared" si="6"/>
        <v>0</v>
      </c>
    </row>
    <row r="23" spans="2:13">
      <c r="B23" s="137">
        <f t="shared" si="4"/>
        <v>8</v>
      </c>
      <c r="C23" s="142">
        <f t="shared" si="1"/>
        <v>241</v>
      </c>
      <c r="D23" s="148">
        <f t="shared" si="2"/>
        <v>0</v>
      </c>
      <c r="E23" s="148">
        <f t="shared" si="7"/>
        <v>0</v>
      </c>
      <c r="F23" s="148">
        <f t="shared" si="5"/>
        <v>0</v>
      </c>
      <c r="G23" s="148">
        <f t="shared" si="8"/>
        <v>0</v>
      </c>
      <c r="H23" s="148">
        <f t="shared" ref="H23" si="15">H22</f>
        <v>0</v>
      </c>
      <c r="I23" s="148">
        <f t="shared" si="3"/>
        <v>0</v>
      </c>
      <c r="J23" s="148">
        <f t="shared" si="8"/>
        <v>0</v>
      </c>
      <c r="K23" s="148"/>
      <c r="L23" s="149">
        <f t="shared" si="10"/>
        <v>0</v>
      </c>
      <c r="M23" s="149">
        <f t="shared" si="6"/>
        <v>0</v>
      </c>
    </row>
    <row r="24" spans="2:13">
      <c r="B24" s="137">
        <f t="shared" si="4"/>
        <v>9</v>
      </c>
      <c r="C24" s="142">
        <f t="shared" si="1"/>
        <v>272</v>
      </c>
      <c r="D24" s="148">
        <f t="shared" si="2"/>
        <v>0</v>
      </c>
      <c r="E24" s="148">
        <f t="shared" si="7"/>
        <v>0</v>
      </c>
      <c r="F24" s="148">
        <f t="shared" si="5"/>
        <v>0</v>
      </c>
      <c r="G24" s="148">
        <f t="shared" si="8"/>
        <v>0</v>
      </c>
      <c r="H24" s="148">
        <f t="shared" ref="H24" si="16">H23</f>
        <v>0</v>
      </c>
      <c r="I24" s="148">
        <f t="shared" si="3"/>
        <v>0</v>
      </c>
      <c r="J24" s="148">
        <f t="shared" si="8"/>
        <v>0</v>
      </c>
      <c r="K24" s="148"/>
      <c r="L24" s="149">
        <f t="shared" si="10"/>
        <v>0</v>
      </c>
      <c r="M24" s="149">
        <f t="shared" si="6"/>
        <v>0</v>
      </c>
    </row>
    <row r="25" spans="2:13">
      <c r="B25" s="137">
        <f t="shared" si="4"/>
        <v>10</v>
      </c>
      <c r="C25" s="142">
        <f t="shared" si="1"/>
        <v>302</v>
      </c>
      <c r="D25" s="148">
        <f t="shared" si="2"/>
        <v>0</v>
      </c>
      <c r="E25" s="148">
        <f t="shared" si="7"/>
        <v>0</v>
      </c>
      <c r="F25" s="148">
        <f t="shared" si="5"/>
        <v>0</v>
      </c>
      <c r="G25" s="148">
        <f t="shared" si="8"/>
        <v>0</v>
      </c>
      <c r="H25" s="148">
        <f t="shared" ref="H25" si="17">H24</f>
        <v>0</v>
      </c>
      <c r="I25" s="148">
        <f t="shared" si="3"/>
        <v>0</v>
      </c>
      <c r="J25" s="148">
        <f t="shared" si="8"/>
        <v>0</v>
      </c>
      <c r="K25" s="148"/>
      <c r="L25" s="149">
        <f t="shared" si="10"/>
        <v>0</v>
      </c>
      <c r="M25" s="149">
        <f t="shared" si="6"/>
        <v>0</v>
      </c>
    </row>
    <row r="26" spans="2:13">
      <c r="B26" s="137">
        <f t="shared" si="4"/>
        <v>11</v>
      </c>
      <c r="C26" s="142">
        <f t="shared" si="1"/>
        <v>333</v>
      </c>
      <c r="D26" s="148">
        <f t="shared" si="2"/>
        <v>0</v>
      </c>
      <c r="E26" s="148">
        <f t="shared" si="7"/>
        <v>0</v>
      </c>
      <c r="F26" s="148">
        <f t="shared" si="5"/>
        <v>0</v>
      </c>
      <c r="G26" s="148">
        <f t="shared" si="8"/>
        <v>0</v>
      </c>
      <c r="H26" s="148">
        <f t="shared" ref="H26" si="18">H25</f>
        <v>0</v>
      </c>
      <c r="I26" s="148">
        <f t="shared" si="3"/>
        <v>0</v>
      </c>
      <c r="J26" s="148">
        <f t="shared" si="8"/>
        <v>0</v>
      </c>
      <c r="K26" s="148"/>
      <c r="L26" s="149">
        <f t="shared" si="10"/>
        <v>0</v>
      </c>
      <c r="M26" s="149">
        <f t="shared" si="6"/>
        <v>0</v>
      </c>
    </row>
    <row r="27" spans="2:13">
      <c r="B27" s="137">
        <f t="shared" si="4"/>
        <v>12</v>
      </c>
      <c r="C27" s="142">
        <f t="shared" si="1"/>
        <v>363</v>
      </c>
      <c r="D27" s="148">
        <f t="shared" si="2"/>
        <v>0</v>
      </c>
      <c r="E27" s="148">
        <f t="shared" si="7"/>
        <v>0</v>
      </c>
      <c r="F27" s="148">
        <f t="shared" si="5"/>
        <v>0</v>
      </c>
      <c r="G27" s="148">
        <f t="shared" si="8"/>
        <v>0</v>
      </c>
      <c r="H27" s="148">
        <f t="shared" ref="H27" si="19">H26</f>
        <v>0</v>
      </c>
      <c r="I27" s="148">
        <f t="shared" si="3"/>
        <v>0</v>
      </c>
      <c r="J27" s="148">
        <f t="shared" si="8"/>
        <v>0</v>
      </c>
      <c r="K27" s="148"/>
      <c r="L27" s="149">
        <f t="shared" si="10"/>
        <v>0</v>
      </c>
      <c r="M27" s="149">
        <f t="shared" si="6"/>
        <v>0</v>
      </c>
    </row>
    <row r="28" spans="2:13">
      <c r="B28" s="121">
        <f t="shared" si="4"/>
        <v>13</v>
      </c>
      <c r="C28" s="233">
        <f t="shared" si="1"/>
        <v>394</v>
      </c>
      <c r="D28" s="234">
        <f t="shared" si="2"/>
        <v>0</v>
      </c>
      <c r="E28" s="234">
        <f t="shared" si="7"/>
        <v>0</v>
      </c>
      <c r="F28" s="234">
        <f t="shared" si="5"/>
        <v>0</v>
      </c>
      <c r="G28" s="234">
        <f>ROUND(M27*$K$7*YEARFRAC(C27,C28),2)</f>
        <v>0</v>
      </c>
      <c r="H28" s="234">
        <f>ROUND(M27*$K$9*YEARFRAC(C27,C28),2)</f>
        <v>0</v>
      </c>
      <c r="I28" s="234">
        <f t="shared" si="3"/>
        <v>0</v>
      </c>
      <c r="J28" s="234">
        <f>ROUND(M39*$K$8*YEARFRAC(C27,C28),2)</f>
        <v>0</v>
      </c>
      <c r="K28" s="234"/>
      <c r="L28" s="235">
        <f t="shared" si="10"/>
        <v>0</v>
      </c>
      <c r="M28" s="235">
        <f t="shared" si="6"/>
        <v>0</v>
      </c>
    </row>
    <row r="29" spans="2:13">
      <c r="B29" s="137">
        <f t="shared" si="4"/>
        <v>14</v>
      </c>
      <c r="C29" s="142">
        <f t="shared" si="1"/>
        <v>425</v>
      </c>
      <c r="D29" s="148">
        <f t="shared" si="2"/>
        <v>0</v>
      </c>
      <c r="E29" s="148">
        <f t="shared" si="7"/>
        <v>0</v>
      </c>
      <c r="F29" s="148">
        <f t="shared" si="5"/>
        <v>0</v>
      </c>
      <c r="G29" s="148">
        <f>G28</f>
        <v>0</v>
      </c>
      <c r="H29" s="148">
        <f>H28</f>
        <v>0</v>
      </c>
      <c r="I29" s="148">
        <f t="shared" si="3"/>
        <v>0</v>
      </c>
      <c r="J29" s="148">
        <f>J28</f>
        <v>0</v>
      </c>
      <c r="K29" s="148"/>
      <c r="L29" s="149">
        <f t="shared" si="10"/>
        <v>0</v>
      </c>
      <c r="M29" s="149">
        <f t="shared" si="6"/>
        <v>0</v>
      </c>
    </row>
    <row r="30" spans="2:13">
      <c r="B30" s="137">
        <f t="shared" si="4"/>
        <v>15</v>
      </c>
      <c r="C30" s="142">
        <f t="shared" si="1"/>
        <v>453</v>
      </c>
      <c r="D30" s="148">
        <f t="shared" si="2"/>
        <v>0</v>
      </c>
      <c r="E30" s="148">
        <f t="shared" si="7"/>
        <v>0</v>
      </c>
      <c r="F30" s="148">
        <f t="shared" si="5"/>
        <v>0</v>
      </c>
      <c r="G30" s="148">
        <f t="shared" ref="G30:J39" si="20">G29</f>
        <v>0</v>
      </c>
      <c r="H30" s="148">
        <f t="shared" ref="H30" si="21">H29</f>
        <v>0</v>
      </c>
      <c r="I30" s="148">
        <f t="shared" si="3"/>
        <v>0</v>
      </c>
      <c r="J30" s="148">
        <f t="shared" si="20"/>
        <v>0</v>
      </c>
      <c r="K30" s="148"/>
      <c r="L30" s="149">
        <f t="shared" si="10"/>
        <v>0</v>
      </c>
      <c r="M30" s="149">
        <f t="shared" si="6"/>
        <v>0</v>
      </c>
    </row>
    <row r="31" spans="2:13">
      <c r="B31" s="137">
        <f t="shared" si="4"/>
        <v>16</v>
      </c>
      <c r="C31" s="142">
        <f t="shared" si="1"/>
        <v>484</v>
      </c>
      <c r="D31" s="148">
        <f t="shared" si="2"/>
        <v>0</v>
      </c>
      <c r="E31" s="148">
        <f t="shared" si="7"/>
        <v>0</v>
      </c>
      <c r="F31" s="148">
        <f t="shared" si="5"/>
        <v>0</v>
      </c>
      <c r="G31" s="148">
        <f t="shared" si="20"/>
        <v>0</v>
      </c>
      <c r="H31" s="148">
        <f t="shared" ref="H31" si="22">H30</f>
        <v>0</v>
      </c>
      <c r="I31" s="148">
        <f t="shared" si="3"/>
        <v>0</v>
      </c>
      <c r="J31" s="148">
        <f t="shared" si="20"/>
        <v>0</v>
      </c>
      <c r="K31" s="148"/>
      <c r="L31" s="149">
        <f t="shared" si="10"/>
        <v>0</v>
      </c>
      <c r="M31" s="149">
        <f t="shared" si="6"/>
        <v>0</v>
      </c>
    </row>
    <row r="32" spans="2:13">
      <c r="B32" s="137">
        <f t="shared" si="4"/>
        <v>17</v>
      </c>
      <c r="C32" s="142">
        <f t="shared" si="1"/>
        <v>514</v>
      </c>
      <c r="D32" s="148">
        <f t="shared" si="2"/>
        <v>0</v>
      </c>
      <c r="E32" s="148">
        <f t="shared" si="7"/>
        <v>0</v>
      </c>
      <c r="F32" s="148">
        <f t="shared" si="5"/>
        <v>0</v>
      </c>
      <c r="G32" s="148">
        <f t="shared" si="20"/>
        <v>0</v>
      </c>
      <c r="H32" s="148">
        <f t="shared" ref="H32" si="23">H31</f>
        <v>0</v>
      </c>
      <c r="I32" s="148">
        <f t="shared" si="3"/>
        <v>0</v>
      </c>
      <c r="J32" s="148">
        <f t="shared" si="20"/>
        <v>0</v>
      </c>
      <c r="K32" s="148"/>
      <c r="L32" s="149">
        <f t="shared" si="10"/>
        <v>0</v>
      </c>
      <c r="M32" s="149">
        <f t="shared" si="6"/>
        <v>0</v>
      </c>
    </row>
    <row r="33" spans="2:14">
      <c r="B33" s="137">
        <f t="shared" ref="B33:B48" si="24">B32+1</f>
        <v>18</v>
      </c>
      <c r="C33" s="142">
        <f t="shared" si="1"/>
        <v>545</v>
      </c>
      <c r="D33" s="148">
        <f t="shared" si="2"/>
        <v>0</v>
      </c>
      <c r="E33" s="148">
        <f t="shared" si="7"/>
        <v>0</v>
      </c>
      <c r="F33" s="148">
        <f t="shared" si="5"/>
        <v>0</v>
      </c>
      <c r="G33" s="148">
        <f t="shared" si="20"/>
        <v>0</v>
      </c>
      <c r="H33" s="148">
        <f t="shared" ref="H33" si="25">H32</f>
        <v>0</v>
      </c>
      <c r="I33" s="148">
        <f t="shared" si="3"/>
        <v>0</v>
      </c>
      <c r="J33" s="148">
        <f t="shared" si="20"/>
        <v>0</v>
      </c>
      <c r="K33" s="148"/>
      <c r="L33" s="149">
        <f t="shared" si="10"/>
        <v>0</v>
      </c>
      <c r="M33" s="149">
        <f t="shared" si="6"/>
        <v>0</v>
      </c>
    </row>
    <row r="34" spans="2:14">
      <c r="B34" s="137">
        <f t="shared" si="24"/>
        <v>19</v>
      </c>
      <c r="C34" s="142">
        <f t="shared" si="1"/>
        <v>575</v>
      </c>
      <c r="D34" s="148">
        <f t="shared" si="2"/>
        <v>0</v>
      </c>
      <c r="E34" s="148">
        <f t="shared" si="7"/>
        <v>0</v>
      </c>
      <c r="F34" s="148">
        <f t="shared" si="5"/>
        <v>0</v>
      </c>
      <c r="G34" s="148">
        <f t="shared" si="20"/>
        <v>0</v>
      </c>
      <c r="H34" s="148">
        <f t="shared" ref="H34" si="26">H33</f>
        <v>0</v>
      </c>
      <c r="I34" s="148">
        <f t="shared" si="3"/>
        <v>0</v>
      </c>
      <c r="J34" s="148">
        <f t="shared" si="20"/>
        <v>0</v>
      </c>
      <c r="K34" s="148"/>
      <c r="L34" s="149">
        <f t="shared" si="10"/>
        <v>0</v>
      </c>
      <c r="M34" s="149">
        <f t="shared" si="6"/>
        <v>0</v>
      </c>
    </row>
    <row r="35" spans="2:14">
      <c r="B35" s="137">
        <f t="shared" si="24"/>
        <v>20</v>
      </c>
      <c r="C35" s="142">
        <f t="shared" si="1"/>
        <v>606</v>
      </c>
      <c r="D35" s="148">
        <f t="shared" si="2"/>
        <v>0</v>
      </c>
      <c r="E35" s="148">
        <f t="shared" si="7"/>
        <v>0</v>
      </c>
      <c r="F35" s="148">
        <f t="shared" si="5"/>
        <v>0</v>
      </c>
      <c r="G35" s="148">
        <f t="shared" si="20"/>
        <v>0</v>
      </c>
      <c r="H35" s="148">
        <f t="shared" ref="H35" si="27">H34</f>
        <v>0</v>
      </c>
      <c r="I35" s="148">
        <f t="shared" si="3"/>
        <v>0</v>
      </c>
      <c r="J35" s="148">
        <f t="shared" si="20"/>
        <v>0</v>
      </c>
      <c r="K35" s="148"/>
      <c r="L35" s="149">
        <f t="shared" si="10"/>
        <v>0</v>
      </c>
      <c r="M35" s="149">
        <f t="shared" si="6"/>
        <v>0</v>
      </c>
    </row>
    <row r="36" spans="2:14">
      <c r="B36" s="137">
        <f t="shared" si="24"/>
        <v>21</v>
      </c>
      <c r="C36" s="142">
        <f t="shared" si="1"/>
        <v>637</v>
      </c>
      <c r="D36" s="148">
        <f t="shared" si="2"/>
        <v>0</v>
      </c>
      <c r="E36" s="148">
        <f t="shared" si="7"/>
        <v>0</v>
      </c>
      <c r="F36" s="148">
        <f t="shared" si="5"/>
        <v>0</v>
      </c>
      <c r="G36" s="148">
        <f t="shared" si="20"/>
        <v>0</v>
      </c>
      <c r="H36" s="148">
        <f t="shared" ref="H36" si="28">H35</f>
        <v>0</v>
      </c>
      <c r="I36" s="148">
        <f t="shared" si="3"/>
        <v>0</v>
      </c>
      <c r="J36" s="148">
        <f t="shared" si="20"/>
        <v>0</v>
      </c>
      <c r="K36" s="148"/>
      <c r="L36" s="149">
        <f t="shared" si="10"/>
        <v>0</v>
      </c>
      <c r="M36" s="149">
        <f t="shared" si="6"/>
        <v>0</v>
      </c>
      <c r="N36" s="1007"/>
    </row>
    <row r="37" spans="2:14">
      <c r="B37" s="137">
        <f t="shared" si="24"/>
        <v>22</v>
      </c>
      <c r="C37" s="142">
        <f t="shared" si="1"/>
        <v>667</v>
      </c>
      <c r="D37" s="148">
        <f t="shared" si="2"/>
        <v>0</v>
      </c>
      <c r="E37" s="148">
        <f t="shared" si="7"/>
        <v>0</v>
      </c>
      <c r="F37" s="148">
        <f t="shared" si="5"/>
        <v>0</v>
      </c>
      <c r="G37" s="148">
        <f t="shared" si="20"/>
        <v>0</v>
      </c>
      <c r="H37" s="148">
        <f t="shared" ref="H37" si="29">H36</f>
        <v>0</v>
      </c>
      <c r="I37" s="148">
        <f t="shared" si="3"/>
        <v>0</v>
      </c>
      <c r="J37" s="148">
        <f t="shared" si="20"/>
        <v>0</v>
      </c>
      <c r="K37" s="148"/>
      <c r="L37" s="149">
        <f t="shared" si="10"/>
        <v>0</v>
      </c>
      <c r="M37" s="149">
        <f t="shared" si="6"/>
        <v>0</v>
      </c>
    </row>
    <row r="38" spans="2:14">
      <c r="B38" s="137">
        <f t="shared" si="24"/>
        <v>23</v>
      </c>
      <c r="C38" s="142">
        <f t="shared" si="1"/>
        <v>698</v>
      </c>
      <c r="D38" s="148">
        <f t="shared" si="2"/>
        <v>0</v>
      </c>
      <c r="E38" s="148">
        <f t="shared" si="7"/>
        <v>0</v>
      </c>
      <c r="F38" s="148">
        <f t="shared" si="5"/>
        <v>0</v>
      </c>
      <c r="G38" s="148">
        <f t="shared" si="20"/>
        <v>0</v>
      </c>
      <c r="H38" s="148">
        <f t="shared" ref="H38" si="30">H37</f>
        <v>0</v>
      </c>
      <c r="I38" s="148">
        <f t="shared" si="3"/>
        <v>0</v>
      </c>
      <c r="J38" s="148">
        <f t="shared" si="20"/>
        <v>0</v>
      </c>
      <c r="K38" s="148"/>
      <c r="L38" s="149">
        <f t="shared" si="10"/>
        <v>0</v>
      </c>
      <c r="M38" s="149">
        <f t="shared" si="6"/>
        <v>0</v>
      </c>
    </row>
    <row r="39" spans="2:14">
      <c r="B39" s="137">
        <f t="shared" si="24"/>
        <v>24</v>
      </c>
      <c r="C39" s="142">
        <f t="shared" si="1"/>
        <v>728</v>
      </c>
      <c r="D39" s="148">
        <f t="shared" si="2"/>
        <v>0</v>
      </c>
      <c r="E39" s="148">
        <f t="shared" si="7"/>
        <v>0</v>
      </c>
      <c r="F39" s="148">
        <f t="shared" si="5"/>
        <v>0</v>
      </c>
      <c r="G39" s="148">
        <f t="shared" si="20"/>
        <v>0</v>
      </c>
      <c r="H39" s="148">
        <f t="shared" ref="H39" si="31">H38</f>
        <v>0</v>
      </c>
      <c r="I39" s="148">
        <f t="shared" si="3"/>
        <v>0</v>
      </c>
      <c r="J39" s="148">
        <f t="shared" si="20"/>
        <v>0</v>
      </c>
      <c r="K39" s="148"/>
      <c r="L39" s="149">
        <f t="shared" si="10"/>
        <v>0</v>
      </c>
      <c r="M39" s="149">
        <f t="shared" si="6"/>
        <v>0</v>
      </c>
    </row>
    <row r="40" spans="2:14">
      <c r="B40" s="121">
        <f t="shared" si="24"/>
        <v>25</v>
      </c>
      <c r="C40" s="233">
        <f t="shared" si="1"/>
        <v>759</v>
      </c>
      <c r="D40" s="234">
        <f t="shared" si="2"/>
        <v>0</v>
      </c>
      <c r="E40" s="234">
        <f t="shared" si="7"/>
        <v>0</v>
      </c>
      <c r="F40" s="234">
        <f t="shared" si="5"/>
        <v>0</v>
      </c>
      <c r="G40" s="234">
        <f>ROUND(M39*$K$7*YEARFRAC(C39,C40),2)</f>
        <v>0</v>
      </c>
      <c r="H40" s="234">
        <f>ROUND(M39*$K$9*YEARFRAC(C39,C40),2)</f>
        <v>0</v>
      </c>
      <c r="I40" s="234">
        <f t="shared" si="3"/>
        <v>0</v>
      </c>
      <c r="J40" s="234">
        <f>ROUND(M51*$K$8*YEARFRAC(C39,C40),2)</f>
        <v>0</v>
      </c>
      <c r="K40" s="234"/>
      <c r="L40" s="235">
        <f t="shared" si="10"/>
        <v>0</v>
      </c>
      <c r="M40" s="235">
        <f t="shared" si="6"/>
        <v>0</v>
      </c>
    </row>
    <row r="41" spans="2:14">
      <c r="B41" s="137">
        <f t="shared" si="24"/>
        <v>26</v>
      </c>
      <c r="C41" s="142">
        <f t="shared" si="1"/>
        <v>790</v>
      </c>
      <c r="D41" s="148">
        <f t="shared" si="2"/>
        <v>0</v>
      </c>
      <c r="E41" s="148">
        <f t="shared" si="7"/>
        <v>0</v>
      </c>
      <c r="F41" s="148">
        <f t="shared" si="5"/>
        <v>0</v>
      </c>
      <c r="G41" s="148">
        <f>G40</f>
        <v>0</v>
      </c>
      <c r="H41" s="148">
        <f>H40</f>
        <v>0</v>
      </c>
      <c r="I41" s="148">
        <f t="shared" si="3"/>
        <v>0</v>
      </c>
      <c r="J41" s="148">
        <f>J40</f>
        <v>0</v>
      </c>
      <c r="K41" s="148"/>
      <c r="L41" s="149">
        <f t="shared" si="10"/>
        <v>0</v>
      </c>
      <c r="M41" s="149">
        <f t="shared" si="6"/>
        <v>0</v>
      </c>
    </row>
    <row r="42" spans="2:14">
      <c r="B42" s="137">
        <f t="shared" si="24"/>
        <v>27</v>
      </c>
      <c r="C42" s="142">
        <f t="shared" si="1"/>
        <v>818</v>
      </c>
      <c r="D42" s="148">
        <f t="shared" si="2"/>
        <v>0</v>
      </c>
      <c r="E42" s="148">
        <f t="shared" si="7"/>
        <v>0</v>
      </c>
      <c r="F42" s="148">
        <f t="shared" si="5"/>
        <v>0</v>
      </c>
      <c r="G42" s="148">
        <f t="shared" ref="G42:J51" si="32">G41</f>
        <v>0</v>
      </c>
      <c r="H42" s="148">
        <f t="shared" ref="H42" si="33">H41</f>
        <v>0</v>
      </c>
      <c r="I42" s="148">
        <f t="shared" si="3"/>
        <v>0</v>
      </c>
      <c r="J42" s="148">
        <f t="shared" si="32"/>
        <v>0</v>
      </c>
      <c r="K42" s="148"/>
      <c r="L42" s="149">
        <f t="shared" si="10"/>
        <v>0</v>
      </c>
      <c r="M42" s="149">
        <f t="shared" si="6"/>
        <v>0</v>
      </c>
    </row>
    <row r="43" spans="2:14">
      <c r="B43" s="137">
        <f t="shared" si="24"/>
        <v>28</v>
      </c>
      <c r="C43" s="142">
        <f t="shared" si="1"/>
        <v>849</v>
      </c>
      <c r="D43" s="148">
        <f t="shared" si="2"/>
        <v>0</v>
      </c>
      <c r="E43" s="148">
        <f t="shared" si="7"/>
        <v>0</v>
      </c>
      <c r="F43" s="148">
        <f t="shared" si="5"/>
        <v>0</v>
      </c>
      <c r="G43" s="148">
        <f t="shared" si="32"/>
        <v>0</v>
      </c>
      <c r="H43" s="148">
        <f t="shared" ref="H43" si="34">H42</f>
        <v>0</v>
      </c>
      <c r="I43" s="148">
        <f t="shared" si="3"/>
        <v>0</v>
      </c>
      <c r="J43" s="148">
        <f t="shared" si="32"/>
        <v>0</v>
      </c>
      <c r="K43" s="148"/>
      <c r="L43" s="149">
        <f t="shared" si="10"/>
        <v>0</v>
      </c>
      <c r="M43" s="149">
        <f t="shared" si="6"/>
        <v>0</v>
      </c>
    </row>
    <row r="44" spans="2:14">
      <c r="B44" s="137">
        <f t="shared" si="24"/>
        <v>29</v>
      </c>
      <c r="C44" s="142">
        <f t="shared" si="1"/>
        <v>879</v>
      </c>
      <c r="D44" s="148">
        <f t="shared" si="2"/>
        <v>0</v>
      </c>
      <c r="E44" s="148">
        <f t="shared" si="7"/>
        <v>0</v>
      </c>
      <c r="F44" s="148">
        <f t="shared" si="5"/>
        <v>0</v>
      </c>
      <c r="G44" s="148">
        <f t="shared" si="32"/>
        <v>0</v>
      </c>
      <c r="H44" s="148">
        <f t="shared" ref="H44" si="35">H43</f>
        <v>0</v>
      </c>
      <c r="I44" s="148">
        <f t="shared" si="3"/>
        <v>0</v>
      </c>
      <c r="J44" s="148">
        <f t="shared" si="32"/>
        <v>0</v>
      </c>
      <c r="K44" s="148"/>
      <c r="L44" s="149">
        <f t="shared" si="10"/>
        <v>0</v>
      </c>
      <c r="M44" s="149">
        <f t="shared" si="6"/>
        <v>0</v>
      </c>
    </row>
    <row r="45" spans="2:14">
      <c r="B45" s="137">
        <f t="shared" si="24"/>
        <v>30</v>
      </c>
      <c r="C45" s="142">
        <f t="shared" si="1"/>
        <v>910</v>
      </c>
      <c r="D45" s="148">
        <f t="shared" si="2"/>
        <v>0</v>
      </c>
      <c r="E45" s="148">
        <f t="shared" si="7"/>
        <v>0</v>
      </c>
      <c r="F45" s="148">
        <f t="shared" si="5"/>
        <v>0</v>
      </c>
      <c r="G45" s="148">
        <f t="shared" si="32"/>
        <v>0</v>
      </c>
      <c r="H45" s="148">
        <f t="shared" ref="H45" si="36">H44</f>
        <v>0</v>
      </c>
      <c r="I45" s="148">
        <f t="shared" si="3"/>
        <v>0</v>
      </c>
      <c r="J45" s="148">
        <f t="shared" si="32"/>
        <v>0</v>
      </c>
      <c r="K45" s="148"/>
      <c r="L45" s="149">
        <f t="shared" si="10"/>
        <v>0</v>
      </c>
      <c r="M45" s="149">
        <f t="shared" si="6"/>
        <v>0</v>
      </c>
    </row>
    <row r="46" spans="2:14">
      <c r="B46" s="137">
        <f t="shared" si="24"/>
        <v>31</v>
      </c>
      <c r="C46" s="142">
        <f t="shared" si="1"/>
        <v>940</v>
      </c>
      <c r="D46" s="148">
        <f t="shared" si="2"/>
        <v>0</v>
      </c>
      <c r="E46" s="148">
        <f t="shared" si="7"/>
        <v>0</v>
      </c>
      <c r="F46" s="148">
        <f t="shared" si="5"/>
        <v>0</v>
      </c>
      <c r="G46" s="148">
        <f t="shared" si="32"/>
        <v>0</v>
      </c>
      <c r="H46" s="148">
        <f t="shared" ref="H46" si="37">H45</f>
        <v>0</v>
      </c>
      <c r="I46" s="148">
        <f t="shared" si="3"/>
        <v>0</v>
      </c>
      <c r="J46" s="148">
        <f t="shared" si="32"/>
        <v>0</v>
      </c>
      <c r="K46" s="148"/>
      <c r="L46" s="149">
        <f t="shared" si="10"/>
        <v>0</v>
      </c>
      <c r="M46" s="149">
        <f t="shared" si="6"/>
        <v>0</v>
      </c>
    </row>
    <row r="47" spans="2:14">
      <c r="B47" s="137">
        <f t="shared" si="24"/>
        <v>32</v>
      </c>
      <c r="C47" s="142">
        <f t="shared" si="1"/>
        <v>971</v>
      </c>
      <c r="D47" s="148">
        <f t="shared" si="2"/>
        <v>0</v>
      </c>
      <c r="E47" s="148">
        <f t="shared" si="7"/>
        <v>0</v>
      </c>
      <c r="F47" s="148">
        <f t="shared" si="5"/>
        <v>0</v>
      </c>
      <c r="G47" s="148">
        <f t="shared" si="32"/>
        <v>0</v>
      </c>
      <c r="H47" s="148">
        <f t="shared" ref="H47" si="38">H46</f>
        <v>0</v>
      </c>
      <c r="I47" s="148">
        <f t="shared" si="3"/>
        <v>0</v>
      </c>
      <c r="J47" s="148">
        <f t="shared" si="32"/>
        <v>0</v>
      </c>
      <c r="K47" s="148"/>
      <c r="L47" s="149">
        <f t="shared" si="10"/>
        <v>0</v>
      </c>
      <c r="M47" s="149">
        <f t="shared" si="6"/>
        <v>0</v>
      </c>
    </row>
    <row r="48" spans="2:14">
      <c r="B48" s="137">
        <f t="shared" si="24"/>
        <v>33</v>
      </c>
      <c r="C48" s="142">
        <f t="shared" si="1"/>
        <v>1002</v>
      </c>
      <c r="D48" s="148">
        <f t="shared" si="2"/>
        <v>0</v>
      </c>
      <c r="E48" s="148">
        <f t="shared" si="7"/>
        <v>0</v>
      </c>
      <c r="F48" s="148">
        <f t="shared" si="5"/>
        <v>0</v>
      </c>
      <c r="G48" s="148">
        <f t="shared" si="32"/>
        <v>0</v>
      </c>
      <c r="H48" s="148">
        <f t="shared" ref="H48" si="39">H47</f>
        <v>0</v>
      </c>
      <c r="I48" s="148">
        <f t="shared" si="3"/>
        <v>0</v>
      </c>
      <c r="J48" s="148">
        <f t="shared" si="32"/>
        <v>0</v>
      </c>
      <c r="K48" s="148"/>
      <c r="L48" s="149">
        <f t="shared" si="10"/>
        <v>0</v>
      </c>
      <c r="M48" s="149">
        <f t="shared" si="6"/>
        <v>0</v>
      </c>
    </row>
    <row r="49" spans="2:13">
      <c r="B49" s="137">
        <f t="shared" ref="B49:B64" si="40">B48+1</f>
        <v>34</v>
      </c>
      <c r="C49" s="142">
        <f t="shared" si="1"/>
        <v>1032</v>
      </c>
      <c r="D49" s="148">
        <f t="shared" si="2"/>
        <v>0</v>
      </c>
      <c r="E49" s="148">
        <f t="shared" si="7"/>
        <v>0</v>
      </c>
      <c r="F49" s="148">
        <f t="shared" si="5"/>
        <v>0</v>
      </c>
      <c r="G49" s="148">
        <f t="shared" si="32"/>
        <v>0</v>
      </c>
      <c r="H49" s="148">
        <f t="shared" ref="H49" si="41">H48</f>
        <v>0</v>
      </c>
      <c r="I49" s="148">
        <f t="shared" si="3"/>
        <v>0</v>
      </c>
      <c r="J49" s="148">
        <f t="shared" si="32"/>
        <v>0</v>
      </c>
      <c r="K49" s="148"/>
      <c r="L49" s="149">
        <f t="shared" si="10"/>
        <v>0</v>
      </c>
      <c r="M49" s="149">
        <f t="shared" si="6"/>
        <v>0</v>
      </c>
    </row>
    <row r="50" spans="2:13">
      <c r="B50" s="137">
        <f t="shared" si="40"/>
        <v>35</v>
      </c>
      <c r="C50" s="142">
        <f t="shared" si="1"/>
        <v>1063</v>
      </c>
      <c r="D50" s="148">
        <f t="shared" si="2"/>
        <v>0</v>
      </c>
      <c r="E50" s="148">
        <f t="shared" si="7"/>
        <v>0</v>
      </c>
      <c r="F50" s="148">
        <f t="shared" si="5"/>
        <v>0</v>
      </c>
      <c r="G50" s="148">
        <f t="shared" si="32"/>
        <v>0</v>
      </c>
      <c r="H50" s="148">
        <f t="shared" ref="H50" si="42">H49</f>
        <v>0</v>
      </c>
      <c r="I50" s="148">
        <f t="shared" si="3"/>
        <v>0</v>
      </c>
      <c r="J50" s="148">
        <f t="shared" si="32"/>
        <v>0</v>
      </c>
      <c r="K50" s="148"/>
      <c r="L50" s="149">
        <f t="shared" si="10"/>
        <v>0</v>
      </c>
      <c r="M50" s="149">
        <f t="shared" si="6"/>
        <v>0</v>
      </c>
    </row>
    <row r="51" spans="2:13">
      <c r="B51" s="137">
        <f t="shared" si="40"/>
        <v>36</v>
      </c>
      <c r="C51" s="142">
        <f t="shared" si="1"/>
        <v>1093</v>
      </c>
      <c r="D51" s="148">
        <f t="shared" si="2"/>
        <v>0</v>
      </c>
      <c r="E51" s="148">
        <f t="shared" si="7"/>
        <v>0</v>
      </c>
      <c r="F51" s="148">
        <f t="shared" si="5"/>
        <v>0</v>
      </c>
      <c r="G51" s="148">
        <f t="shared" si="32"/>
        <v>0</v>
      </c>
      <c r="H51" s="148">
        <f t="shared" ref="H51" si="43">H50</f>
        <v>0</v>
      </c>
      <c r="I51" s="148">
        <f t="shared" si="3"/>
        <v>0</v>
      </c>
      <c r="J51" s="148">
        <f t="shared" si="32"/>
        <v>0</v>
      </c>
      <c r="K51" s="148"/>
      <c r="L51" s="149">
        <f t="shared" si="10"/>
        <v>0</v>
      </c>
      <c r="M51" s="149">
        <f t="shared" si="6"/>
        <v>0</v>
      </c>
    </row>
    <row r="52" spans="2:13">
      <c r="B52" s="137">
        <f t="shared" si="40"/>
        <v>37</v>
      </c>
      <c r="C52" s="142">
        <f t="shared" si="1"/>
        <v>1124</v>
      </c>
      <c r="D52" s="148">
        <f t="shared" si="2"/>
        <v>0</v>
      </c>
      <c r="E52" s="148">
        <f t="shared" si="7"/>
        <v>0</v>
      </c>
      <c r="F52" s="148">
        <f t="shared" si="5"/>
        <v>0</v>
      </c>
      <c r="G52" s="148">
        <f>ROUND(M51*$K$7*YEARFRAC(C51,C52),2)</f>
        <v>0</v>
      </c>
      <c r="H52" s="148">
        <f>ROUND(M51*$K$9*YEARFRAC(C51,C52),2)</f>
        <v>0</v>
      </c>
      <c r="I52" s="148">
        <f t="shared" si="3"/>
        <v>0</v>
      </c>
      <c r="J52" s="148">
        <f>ROUND(M63*$K$8*YEARFRAC(C51,C52),2)</f>
        <v>0</v>
      </c>
      <c r="K52" s="148"/>
      <c r="L52" s="149">
        <f t="shared" si="10"/>
        <v>0</v>
      </c>
      <c r="M52" s="149">
        <f t="shared" si="6"/>
        <v>0</v>
      </c>
    </row>
    <row r="53" spans="2:13">
      <c r="B53" s="137">
        <f t="shared" si="40"/>
        <v>38</v>
      </c>
      <c r="C53" s="142">
        <f t="shared" si="1"/>
        <v>1155</v>
      </c>
      <c r="D53" s="148">
        <f t="shared" si="2"/>
        <v>0</v>
      </c>
      <c r="E53" s="148">
        <f t="shared" si="7"/>
        <v>0</v>
      </c>
      <c r="F53" s="148">
        <f t="shared" si="5"/>
        <v>0</v>
      </c>
      <c r="G53" s="148">
        <f>G52</f>
        <v>0</v>
      </c>
      <c r="H53" s="148">
        <f>H52</f>
        <v>0</v>
      </c>
      <c r="I53" s="148">
        <f t="shared" si="3"/>
        <v>0</v>
      </c>
      <c r="J53" s="148">
        <f>J52</f>
        <v>0</v>
      </c>
      <c r="K53" s="148"/>
      <c r="L53" s="149">
        <f t="shared" si="10"/>
        <v>0</v>
      </c>
      <c r="M53" s="149">
        <f t="shared" si="6"/>
        <v>0</v>
      </c>
    </row>
    <row r="54" spans="2:13">
      <c r="B54" s="137">
        <f t="shared" si="40"/>
        <v>39</v>
      </c>
      <c r="C54" s="142">
        <f t="shared" si="1"/>
        <v>1183</v>
      </c>
      <c r="D54" s="148">
        <f t="shared" si="2"/>
        <v>0</v>
      </c>
      <c r="E54" s="148">
        <f t="shared" si="7"/>
        <v>0</v>
      </c>
      <c r="F54" s="148">
        <f t="shared" si="5"/>
        <v>0</v>
      </c>
      <c r="G54" s="148">
        <f t="shared" ref="G54:J63" si="44">G53</f>
        <v>0</v>
      </c>
      <c r="H54" s="148">
        <f t="shared" ref="H54" si="45">H53</f>
        <v>0</v>
      </c>
      <c r="I54" s="148">
        <f t="shared" si="3"/>
        <v>0</v>
      </c>
      <c r="J54" s="148">
        <f t="shared" si="44"/>
        <v>0</v>
      </c>
      <c r="K54" s="148"/>
      <c r="L54" s="149">
        <f t="shared" si="10"/>
        <v>0</v>
      </c>
      <c r="M54" s="149">
        <f t="shared" si="6"/>
        <v>0</v>
      </c>
    </row>
    <row r="55" spans="2:13">
      <c r="B55" s="137">
        <f t="shared" si="40"/>
        <v>40</v>
      </c>
      <c r="C55" s="142">
        <f t="shared" si="1"/>
        <v>1214</v>
      </c>
      <c r="D55" s="148">
        <f t="shared" si="2"/>
        <v>0</v>
      </c>
      <c r="E55" s="148">
        <f t="shared" si="7"/>
        <v>0</v>
      </c>
      <c r="F55" s="148">
        <f t="shared" si="5"/>
        <v>0</v>
      </c>
      <c r="G55" s="148">
        <f t="shared" si="44"/>
        <v>0</v>
      </c>
      <c r="H55" s="148">
        <f t="shared" ref="H55" si="46">H54</f>
        <v>0</v>
      </c>
      <c r="I55" s="148">
        <f t="shared" si="3"/>
        <v>0</v>
      </c>
      <c r="J55" s="148">
        <f t="shared" si="44"/>
        <v>0</v>
      </c>
      <c r="K55" s="148"/>
      <c r="L55" s="149">
        <f t="shared" si="10"/>
        <v>0</v>
      </c>
      <c r="M55" s="149">
        <f t="shared" si="6"/>
        <v>0</v>
      </c>
    </row>
    <row r="56" spans="2:13">
      <c r="B56" s="137">
        <f t="shared" si="40"/>
        <v>41</v>
      </c>
      <c r="C56" s="142">
        <f t="shared" si="1"/>
        <v>1244</v>
      </c>
      <c r="D56" s="148">
        <f t="shared" si="2"/>
        <v>0</v>
      </c>
      <c r="E56" s="148">
        <f t="shared" si="7"/>
        <v>0</v>
      </c>
      <c r="F56" s="148">
        <f t="shared" si="5"/>
        <v>0</v>
      </c>
      <c r="G56" s="148">
        <f t="shared" si="44"/>
        <v>0</v>
      </c>
      <c r="H56" s="148">
        <f t="shared" ref="H56" si="47">H55</f>
        <v>0</v>
      </c>
      <c r="I56" s="148">
        <f t="shared" si="3"/>
        <v>0</v>
      </c>
      <c r="J56" s="148">
        <f t="shared" si="44"/>
        <v>0</v>
      </c>
      <c r="K56" s="148"/>
      <c r="L56" s="149">
        <f t="shared" si="10"/>
        <v>0</v>
      </c>
      <c r="M56" s="149">
        <f t="shared" si="6"/>
        <v>0</v>
      </c>
    </row>
    <row r="57" spans="2:13">
      <c r="B57" s="137">
        <f t="shared" si="40"/>
        <v>42</v>
      </c>
      <c r="C57" s="142">
        <f t="shared" si="1"/>
        <v>1275</v>
      </c>
      <c r="D57" s="148">
        <f t="shared" si="2"/>
        <v>0</v>
      </c>
      <c r="E57" s="148">
        <f t="shared" si="7"/>
        <v>0</v>
      </c>
      <c r="F57" s="148">
        <f t="shared" si="5"/>
        <v>0</v>
      </c>
      <c r="G57" s="148">
        <f t="shared" si="44"/>
        <v>0</v>
      </c>
      <c r="H57" s="148">
        <f t="shared" ref="H57" si="48">H56</f>
        <v>0</v>
      </c>
      <c r="I57" s="148">
        <f t="shared" si="3"/>
        <v>0</v>
      </c>
      <c r="J57" s="148">
        <f t="shared" si="44"/>
        <v>0</v>
      </c>
      <c r="K57" s="148"/>
      <c r="L57" s="149">
        <f t="shared" si="10"/>
        <v>0</v>
      </c>
      <c r="M57" s="149">
        <f t="shared" si="6"/>
        <v>0</v>
      </c>
    </row>
    <row r="58" spans="2:13">
      <c r="B58" s="137">
        <f t="shared" si="40"/>
        <v>43</v>
      </c>
      <c r="C58" s="142">
        <f t="shared" si="1"/>
        <v>1305</v>
      </c>
      <c r="D58" s="148">
        <f t="shared" si="2"/>
        <v>0</v>
      </c>
      <c r="E58" s="148">
        <f t="shared" si="7"/>
        <v>0</v>
      </c>
      <c r="F58" s="148">
        <f t="shared" si="5"/>
        <v>0</v>
      </c>
      <c r="G58" s="148">
        <f t="shared" si="44"/>
        <v>0</v>
      </c>
      <c r="H58" s="148">
        <f t="shared" ref="H58" si="49">H57</f>
        <v>0</v>
      </c>
      <c r="I58" s="148">
        <f t="shared" si="3"/>
        <v>0</v>
      </c>
      <c r="J58" s="148">
        <f t="shared" si="44"/>
        <v>0</v>
      </c>
      <c r="K58" s="148"/>
      <c r="L58" s="149">
        <f t="shared" si="10"/>
        <v>0</v>
      </c>
      <c r="M58" s="149">
        <f t="shared" si="6"/>
        <v>0</v>
      </c>
    </row>
    <row r="59" spans="2:13">
      <c r="B59" s="137">
        <f t="shared" si="40"/>
        <v>44</v>
      </c>
      <c r="C59" s="142">
        <f t="shared" si="1"/>
        <v>1336</v>
      </c>
      <c r="D59" s="148">
        <f t="shared" si="2"/>
        <v>0</v>
      </c>
      <c r="E59" s="148">
        <f t="shared" si="7"/>
        <v>0</v>
      </c>
      <c r="F59" s="148">
        <f t="shared" si="5"/>
        <v>0</v>
      </c>
      <c r="G59" s="148">
        <f t="shared" si="44"/>
        <v>0</v>
      </c>
      <c r="H59" s="148">
        <f t="shared" ref="H59" si="50">H58</f>
        <v>0</v>
      </c>
      <c r="I59" s="148">
        <f t="shared" si="3"/>
        <v>0</v>
      </c>
      <c r="J59" s="148">
        <f t="shared" si="44"/>
        <v>0</v>
      </c>
      <c r="K59" s="148"/>
      <c r="L59" s="149">
        <f t="shared" si="10"/>
        <v>0</v>
      </c>
      <c r="M59" s="149">
        <f t="shared" si="6"/>
        <v>0</v>
      </c>
    </row>
    <row r="60" spans="2:13">
      <c r="B60" s="137">
        <f t="shared" si="40"/>
        <v>45</v>
      </c>
      <c r="C60" s="142">
        <f t="shared" si="1"/>
        <v>1367</v>
      </c>
      <c r="D60" s="148">
        <f t="shared" si="2"/>
        <v>0</v>
      </c>
      <c r="E60" s="148">
        <f t="shared" si="7"/>
        <v>0</v>
      </c>
      <c r="F60" s="148">
        <f t="shared" si="5"/>
        <v>0</v>
      </c>
      <c r="G60" s="148">
        <f t="shared" si="44"/>
        <v>0</v>
      </c>
      <c r="H60" s="148">
        <f t="shared" ref="H60" si="51">H59</f>
        <v>0</v>
      </c>
      <c r="I60" s="148">
        <f t="shared" si="3"/>
        <v>0</v>
      </c>
      <c r="J60" s="148">
        <f t="shared" si="44"/>
        <v>0</v>
      </c>
      <c r="K60" s="148"/>
      <c r="L60" s="149">
        <f t="shared" si="10"/>
        <v>0</v>
      </c>
      <c r="M60" s="149">
        <f t="shared" si="6"/>
        <v>0</v>
      </c>
    </row>
    <row r="61" spans="2:13">
      <c r="B61" s="137">
        <f t="shared" si="40"/>
        <v>46</v>
      </c>
      <c r="C61" s="142">
        <f t="shared" si="1"/>
        <v>1397</v>
      </c>
      <c r="D61" s="148">
        <f t="shared" si="2"/>
        <v>0</v>
      </c>
      <c r="E61" s="148">
        <f t="shared" si="7"/>
        <v>0</v>
      </c>
      <c r="F61" s="148">
        <f t="shared" si="5"/>
        <v>0</v>
      </c>
      <c r="G61" s="148">
        <f t="shared" si="44"/>
        <v>0</v>
      </c>
      <c r="H61" s="148">
        <f t="shared" ref="H61" si="52">H60</f>
        <v>0</v>
      </c>
      <c r="I61" s="148">
        <f t="shared" si="3"/>
        <v>0</v>
      </c>
      <c r="J61" s="148">
        <f t="shared" si="44"/>
        <v>0</v>
      </c>
      <c r="K61" s="148"/>
      <c r="L61" s="149">
        <f t="shared" si="10"/>
        <v>0</v>
      </c>
      <c r="M61" s="149">
        <f t="shared" si="6"/>
        <v>0</v>
      </c>
    </row>
    <row r="62" spans="2:13">
      <c r="B62" s="137">
        <f t="shared" si="40"/>
        <v>47</v>
      </c>
      <c r="C62" s="142">
        <f t="shared" si="1"/>
        <v>1428</v>
      </c>
      <c r="D62" s="148">
        <f t="shared" si="2"/>
        <v>0</v>
      </c>
      <c r="E62" s="148">
        <f t="shared" si="7"/>
        <v>0</v>
      </c>
      <c r="F62" s="148">
        <f t="shared" si="5"/>
        <v>0</v>
      </c>
      <c r="G62" s="148">
        <f t="shared" si="44"/>
        <v>0</v>
      </c>
      <c r="H62" s="148">
        <f t="shared" ref="H62" si="53">H61</f>
        <v>0</v>
      </c>
      <c r="I62" s="148">
        <f t="shared" si="3"/>
        <v>0</v>
      </c>
      <c r="J62" s="148">
        <f t="shared" si="44"/>
        <v>0</v>
      </c>
      <c r="K62" s="148"/>
      <c r="L62" s="149">
        <f t="shared" si="10"/>
        <v>0</v>
      </c>
      <c r="M62" s="149">
        <f t="shared" si="6"/>
        <v>0</v>
      </c>
    </row>
    <row r="63" spans="2:13">
      <c r="B63" s="137">
        <f t="shared" si="40"/>
        <v>48</v>
      </c>
      <c r="C63" s="142">
        <f t="shared" si="1"/>
        <v>1458</v>
      </c>
      <c r="D63" s="148">
        <f t="shared" si="2"/>
        <v>0</v>
      </c>
      <c r="E63" s="148">
        <f t="shared" si="7"/>
        <v>0</v>
      </c>
      <c r="F63" s="148">
        <f t="shared" si="5"/>
        <v>0</v>
      </c>
      <c r="G63" s="148">
        <f t="shared" si="44"/>
        <v>0</v>
      </c>
      <c r="H63" s="148">
        <f t="shared" ref="H63" si="54">H62</f>
        <v>0</v>
      </c>
      <c r="I63" s="148">
        <f t="shared" si="3"/>
        <v>0</v>
      </c>
      <c r="J63" s="148">
        <f t="shared" si="44"/>
        <v>0</v>
      </c>
      <c r="K63" s="148"/>
      <c r="L63" s="149">
        <f t="shared" si="10"/>
        <v>0</v>
      </c>
      <c r="M63" s="149">
        <f t="shared" si="6"/>
        <v>0</v>
      </c>
    </row>
    <row r="64" spans="2:13">
      <c r="B64" s="137">
        <f t="shared" si="40"/>
        <v>49</v>
      </c>
      <c r="C64" s="142">
        <f t="shared" ref="C64:C127" si="55">EDATE(C63,1)</f>
        <v>1489</v>
      </c>
      <c r="D64" s="148">
        <f t="shared" si="2"/>
        <v>0</v>
      </c>
      <c r="E64" s="148">
        <f t="shared" si="7"/>
        <v>0</v>
      </c>
      <c r="F64" s="148">
        <f t="shared" si="5"/>
        <v>0</v>
      </c>
      <c r="G64" s="148">
        <f>ROUND(M63*$K$7*YEARFRAC(C63,C64),2)</f>
        <v>0</v>
      </c>
      <c r="H64" s="148">
        <f>ROUND(M63*$K$9*YEARFRAC(C63,C64),2)</f>
        <v>0</v>
      </c>
      <c r="I64" s="148">
        <f t="shared" si="3"/>
        <v>0</v>
      </c>
      <c r="J64" s="148">
        <f>ROUND(M75*$K$8*YEARFRAC(C63,C64),2)</f>
        <v>0</v>
      </c>
      <c r="K64" s="148"/>
      <c r="L64" s="149">
        <f t="shared" si="10"/>
        <v>0</v>
      </c>
      <c r="M64" s="149">
        <f t="shared" si="6"/>
        <v>0</v>
      </c>
    </row>
    <row r="65" spans="2:13">
      <c r="B65" s="137">
        <f t="shared" ref="B65:B80" si="56">B64+1</f>
        <v>50</v>
      </c>
      <c r="C65" s="142">
        <f t="shared" si="55"/>
        <v>1520</v>
      </c>
      <c r="D65" s="148">
        <f t="shared" si="2"/>
        <v>0</v>
      </c>
      <c r="E65" s="148">
        <f t="shared" si="7"/>
        <v>0</v>
      </c>
      <c r="F65" s="148">
        <f t="shared" si="5"/>
        <v>0</v>
      </c>
      <c r="G65" s="148">
        <f>G64</f>
        <v>0</v>
      </c>
      <c r="H65" s="148">
        <f>H64</f>
        <v>0</v>
      </c>
      <c r="I65" s="148">
        <f t="shared" si="3"/>
        <v>0</v>
      </c>
      <c r="J65" s="148">
        <f>J64</f>
        <v>0</v>
      </c>
      <c r="K65" s="148"/>
      <c r="L65" s="149">
        <f t="shared" si="10"/>
        <v>0</v>
      </c>
      <c r="M65" s="149">
        <f t="shared" si="6"/>
        <v>0</v>
      </c>
    </row>
    <row r="66" spans="2:13">
      <c r="B66" s="137">
        <f t="shared" si="56"/>
        <v>51</v>
      </c>
      <c r="C66" s="142">
        <f t="shared" si="55"/>
        <v>1549</v>
      </c>
      <c r="D66" s="148">
        <f t="shared" si="2"/>
        <v>0</v>
      </c>
      <c r="E66" s="148">
        <f t="shared" si="7"/>
        <v>0</v>
      </c>
      <c r="F66" s="148">
        <f t="shared" si="5"/>
        <v>0</v>
      </c>
      <c r="G66" s="148">
        <f t="shared" ref="G66:J75" si="57">G65</f>
        <v>0</v>
      </c>
      <c r="H66" s="148">
        <f t="shared" ref="H66" si="58">H65</f>
        <v>0</v>
      </c>
      <c r="I66" s="148">
        <f t="shared" si="3"/>
        <v>0</v>
      </c>
      <c r="J66" s="148">
        <f t="shared" si="57"/>
        <v>0</v>
      </c>
      <c r="K66" s="148"/>
      <c r="L66" s="149">
        <f t="shared" si="10"/>
        <v>0</v>
      </c>
      <c r="M66" s="149">
        <f t="shared" si="6"/>
        <v>0</v>
      </c>
    </row>
    <row r="67" spans="2:13">
      <c r="B67" s="137">
        <f t="shared" si="56"/>
        <v>52</v>
      </c>
      <c r="C67" s="142">
        <f t="shared" si="55"/>
        <v>1580</v>
      </c>
      <c r="D67" s="148">
        <f t="shared" si="2"/>
        <v>0</v>
      </c>
      <c r="E67" s="148">
        <f t="shared" si="7"/>
        <v>0</v>
      </c>
      <c r="F67" s="148">
        <f t="shared" si="5"/>
        <v>0</v>
      </c>
      <c r="G67" s="148">
        <f t="shared" si="57"/>
        <v>0</v>
      </c>
      <c r="H67" s="148">
        <f t="shared" ref="H67" si="59">H66</f>
        <v>0</v>
      </c>
      <c r="I67" s="148">
        <f t="shared" si="3"/>
        <v>0</v>
      </c>
      <c r="J67" s="148">
        <f t="shared" si="57"/>
        <v>0</v>
      </c>
      <c r="K67" s="148"/>
      <c r="L67" s="149">
        <f t="shared" si="10"/>
        <v>0</v>
      </c>
      <c r="M67" s="149">
        <f t="shared" si="6"/>
        <v>0</v>
      </c>
    </row>
    <row r="68" spans="2:13">
      <c r="B68" s="137">
        <f t="shared" si="56"/>
        <v>53</v>
      </c>
      <c r="C68" s="142">
        <f t="shared" si="55"/>
        <v>1610</v>
      </c>
      <c r="D68" s="148">
        <f t="shared" si="2"/>
        <v>0</v>
      </c>
      <c r="E68" s="148">
        <f t="shared" si="7"/>
        <v>0</v>
      </c>
      <c r="F68" s="148">
        <f t="shared" si="5"/>
        <v>0</v>
      </c>
      <c r="G68" s="148">
        <f t="shared" si="57"/>
        <v>0</v>
      </c>
      <c r="H68" s="148">
        <f t="shared" ref="H68" si="60">H67</f>
        <v>0</v>
      </c>
      <c r="I68" s="148">
        <f t="shared" si="3"/>
        <v>0</v>
      </c>
      <c r="J68" s="148">
        <f t="shared" si="57"/>
        <v>0</v>
      </c>
      <c r="K68" s="148"/>
      <c r="L68" s="149">
        <f t="shared" si="10"/>
        <v>0</v>
      </c>
      <c r="M68" s="149">
        <f t="shared" si="6"/>
        <v>0</v>
      </c>
    </row>
    <row r="69" spans="2:13">
      <c r="B69" s="137">
        <f t="shared" si="56"/>
        <v>54</v>
      </c>
      <c r="C69" s="142">
        <f t="shared" si="55"/>
        <v>1641</v>
      </c>
      <c r="D69" s="148">
        <f t="shared" si="2"/>
        <v>0</v>
      </c>
      <c r="E69" s="148">
        <f t="shared" si="7"/>
        <v>0</v>
      </c>
      <c r="F69" s="148">
        <f t="shared" si="5"/>
        <v>0</v>
      </c>
      <c r="G69" s="148">
        <f t="shared" si="57"/>
        <v>0</v>
      </c>
      <c r="H69" s="148">
        <f t="shared" ref="H69" si="61">H68</f>
        <v>0</v>
      </c>
      <c r="I69" s="148">
        <f t="shared" si="3"/>
        <v>0</v>
      </c>
      <c r="J69" s="148">
        <f t="shared" si="57"/>
        <v>0</v>
      </c>
      <c r="K69" s="148"/>
      <c r="L69" s="149">
        <f t="shared" si="10"/>
        <v>0</v>
      </c>
      <c r="M69" s="149">
        <f t="shared" si="6"/>
        <v>0</v>
      </c>
    </row>
    <row r="70" spans="2:13">
      <c r="B70" s="137">
        <f t="shared" si="56"/>
        <v>55</v>
      </c>
      <c r="C70" s="142">
        <f t="shared" si="55"/>
        <v>1671</v>
      </c>
      <c r="D70" s="148">
        <f t="shared" si="2"/>
        <v>0</v>
      </c>
      <c r="E70" s="148">
        <f t="shared" si="7"/>
        <v>0</v>
      </c>
      <c r="F70" s="148">
        <f t="shared" si="5"/>
        <v>0</v>
      </c>
      <c r="G70" s="148">
        <f t="shared" si="57"/>
        <v>0</v>
      </c>
      <c r="H70" s="148">
        <f t="shared" ref="H70" si="62">H69</f>
        <v>0</v>
      </c>
      <c r="I70" s="148">
        <f t="shared" si="3"/>
        <v>0</v>
      </c>
      <c r="J70" s="148">
        <f t="shared" si="57"/>
        <v>0</v>
      </c>
      <c r="K70" s="148"/>
      <c r="L70" s="149">
        <f t="shared" si="10"/>
        <v>0</v>
      </c>
      <c r="M70" s="149">
        <f t="shared" si="6"/>
        <v>0</v>
      </c>
    </row>
    <row r="71" spans="2:13">
      <c r="B71" s="137">
        <f t="shared" si="56"/>
        <v>56</v>
      </c>
      <c r="C71" s="142">
        <f t="shared" si="55"/>
        <v>1702</v>
      </c>
      <c r="D71" s="148">
        <f t="shared" si="2"/>
        <v>0</v>
      </c>
      <c r="E71" s="148">
        <f t="shared" si="7"/>
        <v>0</v>
      </c>
      <c r="F71" s="148">
        <f t="shared" si="5"/>
        <v>0</v>
      </c>
      <c r="G71" s="148">
        <f t="shared" si="57"/>
        <v>0</v>
      </c>
      <c r="H71" s="148">
        <f t="shared" ref="H71" si="63">H70</f>
        <v>0</v>
      </c>
      <c r="I71" s="148">
        <f t="shared" si="3"/>
        <v>0</v>
      </c>
      <c r="J71" s="148">
        <f t="shared" si="57"/>
        <v>0</v>
      </c>
      <c r="K71" s="148"/>
      <c r="L71" s="149">
        <f t="shared" si="10"/>
        <v>0</v>
      </c>
      <c r="M71" s="149">
        <f t="shared" si="6"/>
        <v>0</v>
      </c>
    </row>
    <row r="72" spans="2:13">
      <c r="B72" s="137">
        <f t="shared" si="56"/>
        <v>57</v>
      </c>
      <c r="C72" s="142">
        <f t="shared" si="55"/>
        <v>1733</v>
      </c>
      <c r="D72" s="148">
        <f t="shared" si="2"/>
        <v>0</v>
      </c>
      <c r="E72" s="148">
        <f t="shared" si="7"/>
        <v>0</v>
      </c>
      <c r="F72" s="148">
        <f t="shared" si="5"/>
        <v>0</v>
      </c>
      <c r="G72" s="148">
        <f t="shared" si="57"/>
        <v>0</v>
      </c>
      <c r="H72" s="148">
        <f t="shared" ref="H72" si="64">H71</f>
        <v>0</v>
      </c>
      <c r="I72" s="148">
        <f t="shared" si="3"/>
        <v>0</v>
      </c>
      <c r="J72" s="148">
        <f t="shared" si="57"/>
        <v>0</v>
      </c>
      <c r="K72" s="148"/>
      <c r="L72" s="149">
        <f t="shared" si="10"/>
        <v>0</v>
      </c>
      <c r="M72" s="149">
        <f t="shared" si="6"/>
        <v>0</v>
      </c>
    </row>
    <row r="73" spans="2:13">
      <c r="B73" s="137">
        <f t="shared" si="56"/>
        <v>58</v>
      </c>
      <c r="C73" s="142">
        <f t="shared" si="55"/>
        <v>1763</v>
      </c>
      <c r="D73" s="148">
        <f t="shared" si="2"/>
        <v>0</v>
      </c>
      <c r="E73" s="148">
        <f t="shared" si="7"/>
        <v>0</v>
      </c>
      <c r="F73" s="148">
        <f t="shared" si="5"/>
        <v>0</v>
      </c>
      <c r="G73" s="148">
        <f t="shared" si="57"/>
        <v>0</v>
      </c>
      <c r="H73" s="148">
        <f t="shared" ref="H73" si="65">H72</f>
        <v>0</v>
      </c>
      <c r="I73" s="148">
        <f t="shared" si="3"/>
        <v>0</v>
      </c>
      <c r="J73" s="148">
        <f t="shared" si="57"/>
        <v>0</v>
      </c>
      <c r="K73" s="148"/>
      <c r="L73" s="149">
        <f t="shared" si="10"/>
        <v>0</v>
      </c>
      <c r="M73" s="149">
        <f t="shared" si="6"/>
        <v>0</v>
      </c>
    </row>
    <row r="74" spans="2:13">
      <c r="B74" s="137">
        <f t="shared" si="56"/>
        <v>59</v>
      </c>
      <c r="C74" s="142">
        <f t="shared" si="55"/>
        <v>1794</v>
      </c>
      <c r="D74" s="148">
        <f t="shared" si="2"/>
        <v>0</v>
      </c>
      <c r="E74" s="148">
        <f t="shared" si="7"/>
        <v>0</v>
      </c>
      <c r="F74" s="148">
        <f t="shared" si="5"/>
        <v>0</v>
      </c>
      <c r="G74" s="148">
        <f t="shared" si="57"/>
        <v>0</v>
      </c>
      <c r="H74" s="148">
        <f t="shared" ref="H74" si="66">H73</f>
        <v>0</v>
      </c>
      <c r="I74" s="148">
        <f t="shared" si="3"/>
        <v>0</v>
      </c>
      <c r="J74" s="148">
        <f t="shared" si="57"/>
        <v>0</v>
      </c>
      <c r="K74" s="148"/>
      <c r="L74" s="149">
        <f t="shared" si="10"/>
        <v>0</v>
      </c>
      <c r="M74" s="149">
        <f t="shared" si="6"/>
        <v>0</v>
      </c>
    </row>
    <row r="75" spans="2:13">
      <c r="B75" s="137">
        <f t="shared" si="56"/>
        <v>60</v>
      </c>
      <c r="C75" s="142">
        <f t="shared" si="55"/>
        <v>1824</v>
      </c>
      <c r="D75" s="148">
        <f t="shared" si="2"/>
        <v>0</v>
      </c>
      <c r="E75" s="148">
        <f t="shared" si="7"/>
        <v>0</v>
      </c>
      <c r="F75" s="148">
        <f t="shared" si="5"/>
        <v>0</v>
      </c>
      <c r="G75" s="148">
        <f t="shared" si="57"/>
        <v>0</v>
      </c>
      <c r="H75" s="148">
        <f t="shared" ref="H75" si="67">H74</f>
        <v>0</v>
      </c>
      <c r="I75" s="148">
        <f t="shared" si="3"/>
        <v>0</v>
      </c>
      <c r="J75" s="148">
        <f t="shared" si="57"/>
        <v>0</v>
      </c>
      <c r="K75" s="148"/>
      <c r="L75" s="149">
        <f t="shared" si="10"/>
        <v>0</v>
      </c>
      <c r="M75" s="149">
        <f t="shared" si="6"/>
        <v>0</v>
      </c>
    </row>
    <row r="76" spans="2:13">
      <c r="B76" s="137">
        <f t="shared" si="56"/>
        <v>61</v>
      </c>
      <c r="C76" s="142">
        <f t="shared" si="55"/>
        <v>1855</v>
      </c>
      <c r="D76" s="148">
        <f t="shared" si="2"/>
        <v>0</v>
      </c>
      <c r="E76" s="148">
        <f t="shared" si="7"/>
        <v>0</v>
      </c>
      <c r="F76" s="148">
        <f t="shared" si="5"/>
        <v>0</v>
      </c>
      <c r="G76" s="148">
        <f>ROUND(M75*$K$7*YEARFRAC(C75,C76),2)</f>
        <v>0</v>
      </c>
      <c r="H76" s="148">
        <f>ROUND(M75*$K$9*YEARFRAC(C75,C76),2)</f>
        <v>0</v>
      </c>
      <c r="I76" s="148">
        <f t="shared" si="3"/>
        <v>0</v>
      </c>
      <c r="J76" s="148">
        <f>ROUND(M87*$K$8*YEARFRAC(C75,C76),2)</f>
        <v>0</v>
      </c>
      <c r="K76" s="148"/>
      <c r="L76" s="149">
        <f t="shared" si="10"/>
        <v>0</v>
      </c>
      <c r="M76" s="149">
        <f t="shared" si="6"/>
        <v>0</v>
      </c>
    </row>
    <row r="77" spans="2:13">
      <c r="B77" s="137">
        <f t="shared" si="56"/>
        <v>62</v>
      </c>
      <c r="C77" s="142">
        <f t="shared" si="55"/>
        <v>1886</v>
      </c>
      <c r="D77" s="148">
        <f t="shared" si="2"/>
        <v>0</v>
      </c>
      <c r="E77" s="148">
        <f t="shared" si="7"/>
        <v>0</v>
      </c>
      <c r="F77" s="148">
        <f t="shared" si="5"/>
        <v>0</v>
      </c>
      <c r="G77" s="148">
        <f>G76</f>
        <v>0</v>
      </c>
      <c r="H77" s="148">
        <f>H76</f>
        <v>0</v>
      </c>
      <c r="I77" s="148">
        <f t="shared" si="3"/>
        <v>0</v>
      </c>
      <c r="J77" s="148">
        <f>J76</f>
        <v>0</v>
      </c>
      <c r="K77" s="148"/>
      <c r="L77" s="149">
        <f t="shared" si="10"/>
        <v>0</v>
      </c>
      <c r="M77" s="149">
        <f t="shared" si="6"/>
        <v>0</v>
      </c>
    </row>
    <row r="78" spans="2:13">
      <c r="B78" s="137">
        <f t="shared" si="56"/>
        <v>63</v>
      </c>
      <c r="C78" s="142">
        <f t="shared" si="55"/>
        <v>1914</v>
      </c>
      <c r="D78" s="148">
        <f t="shared" si="2"/>
        <v>0</v>
      </c>
      <c r="E78" s="148">
        <f t="shared" si="7"/>
        <v>0</v>
      </c>
      <c r="F78" s="148">
        <f t="shared" si="5"/>
        <v>0</v>
      </c>
      <c r="G78" s="148">
        <f t="shared" ref="G78:J87" si="68">G77</f>
        <v>0</v>
      </c>
      <c r="H78" s="148">
        <f t="shared" ref="H78" si="69">H77</f>
        <v>0</v>
      </c>
      <c r="I78" s="148">
        <f t="shared" si="3"/>
        <v>0</v>
      </c>
      <c r="J78" s="148">
        <f t="shared" si="68"/>
        <v>0</v>
      </c>
      <c r="K78" s="148"/>
      <c r="L78" s="149">
        <f t="shared" si="10"/>
        <v>0</v>
      </c>
      <c r="M78" s="149">
        <f t="shared" si="6"/>
        <v>0</v>
      </c>
    </row>
    <row r="79" spans="2:13">
      <c r="B79" s="137">
        <f t="shared" si="56"/>
        <v>64</v>
      </c>
      <c r="C79" s="142">
        <f t="shared" si="55"/>
        <v>1945</v>
      </c>
      <c r="D79" s="148">
        <f t="shared" si="2"/>
        <v>0</v>
      </c>
      <c r="E79" s="148">
        <f t="shared" si="7"/>
        <v>0</v>
      </c>
      <c r="F79" s="148">
        <f t="shared" si="5"/>
        <v>0</v>
      </c>
      <c r="G79" s="148">
        <f t="shared" si="68"/>
        <v>0</v>
      </c>
      <c r="H79" s="148">
        <f t="shared" ref="H79" si="70">H78</f>
        <v>0</v>
      </c>
      <c r="I79" s="148">
        <f t="shared" si="3"/>
        <v>0</v>
      </c>
      <c r="J79" s="148">
        <f t="shared" si="68"/>
        <v>0</v>
      </c>
      <c r="K79" s="148"/>
      <c r="L79" s="149">
        <f t="shared" si="10"/>
        <v>0</v>
      </c>
      <c r="M79" s="149">
        <f t="shared" si="6"/>
        <v>0</v>
      </c>
    </row>
    <row r="80" spans="2:13">
      <c r="B80" s="137">
        <f t="shared" si="56"/>
        <v>65</v>
      </c>
      <c r="C80" s="142">
        <f t="shared" si="55"/>
        <v>1975</v>
      </c>
      <c r="D80" s="148">
        <f t="shared" ref="D80:D143" si="71">IF(B80=($C$7*12),M79,IF(B80&gt;($C$7*12),0,PPMT($K$5/12,B80,$C$9*12,-$C$5)))</f>
        <v>0</v>
      </c>
      <c r="E80" s="148">
        <f t="shared" si="7"/>
        <v>0</v>
      </c>
      <c r="F80" s="148">
        <f t="shared" si="5"/>
        <v>0</v>
      </c>
      <c r="G80" s="148">
        <f t="shared" si="68"/>
        <v>0</v>
      </c>
      <c r="H80" s="148">
        <f t="shared" ref="H80" si="72">H79</f>
        <v>0</v>
      </c>
      <c r="I80" s="148">
        <f t="shared" ref="I80:I143" si="73">ROUND($K$6*(M80+2*E82+2*G82),2)/12</f>
        <v>0</v>
      </c>
      <c r="J80" s="148">
        <f t="shared" si="68"/>
        <v>0</v>
      </c>
      <c r="K80" s="148"/>
      <c r="L80" s="149">
        <f t="shared" si="10"/>
        <v>0</v>
      </c>
      <c r="M80" s="149">
        <f t="shared" si="6"/>
        <v>0</v>
      </c>
    </row>
    <row r="81" spans="2:13">
      <c r="B81" s="137">
        <f t="shared" ref="B81:B96" si="74">B80+1</f>
        <v>66</v>
      </c>
      <c r="C81" s="142">
        <f t="shared" si="55"/>
        <v>2006</v>
      </c>
      <c r="D81" s="148">
        <f t="shared" si="71"/>
        <v>0</v>
      </c>
      <c r="E81" s="148">
        <f t="shared" si="7"/>
        <v>0</v>
      </c>
      <c r="F81" s="148">
        <f t="shared" ref="F81:F144" si="75">SUM(D81:E81)</f>
        <v>0</v>
      </c>
      <c r="G81" s="148">
        <f t="shared" si="68"/>
        <v>0</v>
      </c>
      <c r="H81" s="148">
        <f t="shared" ref="H81" si="76">H80</f>
        <v>0</v>
      </c>
      <c r="I81" s="148">
        <f t="shared" si="73"/>
        <v>0</v>
      </c>
      <c r="J81" s="148">
        <f t="shared" si="68"/>
        <v>0</v>
      </c>
      <c r="K81" s="148"/>
      <c r="L81" s="149">
        <f t="shared" si="10"/>
        <v>0</v>
      </c>
      <c r="M81" s="149">
        <f t="shared" ref="M81:M144" si="77">+M80-D81</f>
        <v>0</v>
      </c>
    </row>
    <row r="82" spans="2:13">
      <c r="B82" s="137">
        <f t="shared" si="74"/>
        <v>67</v>
      </c>
      <c r="C82" s="142">
        <f t="shared" si="55"/>
        <v>2036</v>
      </c>
      <c r="D82" s="148">
        <f t="shared" si="71"/>
        <v>0</v>
      </c>
      <c r="E82" s="148">
        <f t="shared" ref="E82:E145" si="78">($K$5)/12*M81</f>
        <v>0</v>
      </c>
      <c r="F82" s="148">
        <f t="shared" si="75"/>
        <v>0</v>
      </c>
      <c r="G82" s="148">
        <f t="shared" si="68"/>
        <v>0</v>
      </c>
      <c r="H82" s="148">
        <f t="shared" ref="H82" si="79">H81</f>
        <v>0</v>
      </c>
      <c r="I82" s="148">
        <f t="shared" si="73"/>
        <v>0</v>
      </c>
      <c r="J82" s="148">
        <f t="shared" si="68"/>
        <v>0</v>
      </c>
      <c r="K82" s="148"/>
      <c r="L82" s="149">
        <f t="shared" ref="L82:L145" si="80">SUM(F82:J82)</f>
        <v>0</v>
      </c>
      <c r="M82" s="149">
        <f t="shared" si="77"/>
        <v>0</v>
      </c>
    </row>
    <row r="83" spans="2:13">
      <c r="B83" s="137">
        <f t="shared" si="74"/>
        <v>68</v>
      </c>
      <c r="C83" s="142">
        <f t="shared" si="55"/>
        <v>2067</v>
      </c>
      <c r="D83" s="148">
        <f t="shared" si="71"/>
        <v>0</v>
      </c>
      <c r="E83" s="148">
        <f t="shared" si="78"/>
        <v>0</v>
      </c>
      <c r="F83" s="148">
        <f t="shared" si="75"/>
        <v>0</v>
      </c>
      <c r="G83" s="148">
        <f t="shared" si="68"/>
        <v>0</v>
      </c>
      <c r="H83" s="148">
        <f t="shared" ref="H83" si="81">H82</f>
        <v>0</v>
      </c>
      <c r="I83" s="148">
        <f t="shared" si="73"/>
        <v>0</v>
      </c>
      <c r="J83" s="148">
        <f t="shared" si="68"/>
        <v>0</v>
      </c>
      <c r="K83" s="148"/>
      <c r="L83" s="149">
        <f t="shared" si="80"/>
        <v>0</v>
      </c>
      <c r="M83" s="149">
        <f t="shared" si="77"/>
        <v>0</v>
      </c>
    </row>
    <row r="84" spans="2:13">
      <c r="B84" s="137">
        <f t="shared" si="74"/>
        <v>69</v>
      </c>
      <c r="C84" s="142">
        <f t="shared" si="55"/>
        <v>2098</v>
      </c>
      <c r="D84" s="148">
        <f t="shared" si="71"/>
        <v>0</v>
      </c>
      <c r="E84" s="148">
        <f t="shared" si="78"/>
        <v>0</v>
      </c>
      <c r="F84" s="148">
        <f t="shared" si="75"/>
        <v>0</v>
      </c>
      <c r="G84" s="148">
        <f t="shared" si="68"/>
        <v>0</v>
      </c>
      <c r="H84" s="148">
        <f t="shared" ref="H84" si="82">H83</f>
        <v>0</v>
      </c>
      <c r="I84" s="148">
        <f t="shared" si="73"/>
        <v>0</v>
      </c>
      <c r="J84" s="148">
        <f t="shared" si="68"/>
        <v>0</v>
      </c>
      <c r="K84" s="148"/>
      <c r="L84" s="149">
        <f t="shared" si="80"/>
        <v>0</v>
      </c>
      <c r="M84" s="149">
        <f t="shared" si="77"/>
        <v>0</v>
      </c>
    </row>
    <row r="85" spans="2:13">
      <c r="B85" s="137">
        <f t="shared" si="74"/>
        <v>70</v>
      </c>
      <c r="C85" s="142">
        <f t="shared" si="55"/>
        <v>2128</v>
      </c>
      <c r="D85" s="148">
        <f t="shared" si="71"/>
        <v>0</v>
      </c>
      <c r="E85" s="148">
        <f t="shared" si="78"/>
        <v>0</v>
      </c>
      <c r="F85" s="148">
        <f t="shared" si="75"/>
        <v>0</v>
      </c>
      <c r="G85" s="148">
        <f t="shared" si="68"/>
        <v>0</v>
      </c>
      <c r="H85" s="148">
        <f t="shared" ref="H85" si="83">H84</f>
        <v>0</v>
      </c>
      <c r="I85" s="148">
        <f t="shared" si="73"/>
        <v>0</v>
      </c>
      <c r="J85" s="148">
        <f t="shared" si="68"/>
        <v>0</v>
      </c>
      <c r="K85" s="148"/>
      <c r="L85" s="149">
        <f t="shared" si="80"/>
        <v>0</v>
      </c>
      <c r="M85" s="149">
        <f t="shared" si="77"/>
        <v>0</v>
      </c>
    </row>
    <row r="86" spans="2:13">
      <c r="B86" s="137">
        <f t="shared" si="74"/>
        <v>71</v>
      </c>
      <c r="C86" s="142">
        <f t="shared" si="55"/>
        <v>2159</v>
      </c>
      <c r="D86" s="148">
        <f t="shared" si="71"/>
        <v>0</v>
      </c>
      <c r="E86" s="148">
        <f t="shared" si="78"/>
        <v>0</v>
      </c>
      <c r="F86" s="148">
        <f t="shared" si="75"/>
        <v>0</v>
      </c>
      <c r="G86" s="148">
        <f t="shared" si="68"/>
        <v>0</v>
      </c>
      <c r="H86" s="148">
        <f t="shared" ref="H86" si="84">H85</f>
        <v>0</v>
      </c>
      <c r="I86" s="148">
        <f t="shared" si="73"/>
        <v>0</v>
      </c>
      <c r="J86" s="148">
        <f t="shared" si="68"/>
        <v>0</v>
      </c>
      <c r="K86" s="148"/>
      <c r="L86" s="149">
        <f t="shared" si="80"/>
        <v>0</v>
      </c>
      <c r="M86" s="149">
        <f t="shared" si="77"/>
        <v>0</v>
      </c>
    </row>
    <row r="87" spans="2:13">
      <c r="B87" s="137">
        <f t="shared" si="74"/>
        <v>72</v>
      </c>
      <c r="C87" s="142">
        <f t="shared" si="55"/>
        <v>2189</v>
      </c>
      <c r="D87" s="148">
        <f t="shared" si="71"/>
        <v>0</v>
      </c>
      <c r="E87" s="148">
        <f t="shared" si="78"/>
        <v>0</v>
      </c>
      <c r="F87" s="148">
        <f t="shared" si="75"/>
        <v>0</v>
      </c>
      <c r="G87" s="148">
        <f t="shared" si="68"/>
        <v>0</v>
      </c>
      <c r="H87" s="148">
        <f t="shared" ref="H87" si="85">H86</f>
        <v>0</v>
      </c>
      <c r="I87" s="148">
        <f t="shared" si="73"/>
        <v>0</v>
      </c>
      <c r="J87" s="148">
        <f t="shared" si="68"/>
        <v>0</v>
      </c>
      <c r="K87" s="148"/>
      <c r="L87" s="149">
        <f t="shared" si="80"/>
        <v>0</v>
      </c>
      <c r="M87" s="149">
        <f t="shared" si="77"/>
        <v>0</v>
      </c>
    </row>
    <row r="88" spans="2:13">
      <c r="B88" s="137">
        <f t="shared" si="74"/>
        <v>73</v>
      </c>
      <c r="C88" s="142">
        <f t="shared" si="55"/>
        <v>2220</v>
      </c>
      <c r="D88" s="148">
        <f t="shared" si="71"/>
        <v>0</v>
      </c>
      <c r="E88" s="148">
        <f t="shared" si="78"/>
        <v>0</v>
      </c>
      <c r="F88" s="148">
        <f t="shared" si="75"/>
        <v>0</v>
      </c>
      <c r="G88" s="148">
        <f>ROUND(M87*$K$7*YEARFRAC(C87,C88),2)</f>
        <v>0</v>
      </c>
      <c r="H88" s="148">
        <f>ROUND(M87*$K$9*YEARFRAC(C87,C88),2)</f>
        <v>0</v>
      </c>
      <c r="I88" s="148">
        <f t="shared" si="73"/>
        <v>0</v>
      </c>
      <c r="J88" s="148">
        <f>ROUND(M99*$K$8*YEARFRAC(C87,C88),2)</f>
        <v>0</v>
      </c>
      <c r="K88" s="148"/>
      <c r="L88" s="149">
        <f t="shared" si="80"/>
        <v>0</v>
      </c>
      <c r="M88" s="149">
        <f t="shared" si="77"/>
        <v>0</v>
      </c>
    </row>
    <row r="89" spans="2:13">
      <c r="B89" s="137">
        <f t="shared" si="74"/>
        <v>74</v>
      </c>
      <c r="C89" s="142">
        <f t="shared" si="55"/>
        <v>2251</v>
      </c>
      <c r="D89" s="148">
        <f t="shared" si="71"/>
        <v>0</v>
      </c>
      <c r="E89" s="148">
        <f t="shared" si="78"/>
        <v>0</v>
      </c>
      <c r="F89" s="148">
        <f t="shared" si="75"/>
        <v>0</v>
      </c>
      <c r="G89" s="148">
        <f>G88</f>
        <v>0</v>
      </c>
      <c r="H89" s="148">
        <f>H88</f>
        <v>0</v>
      </c>
      <c r="I89" s="148">
        <f t="shared" si="73"/>
        <v>0</v>
      </c>
      <c r="J89" s="148">
        <f>J88</f>
        <v>0</v>
      </c>
      <c r="K89" s="148"/>
      <c r="L89" s="149">
        <f t="shared" si="80"/>
        <v>0</v>
      </c>
      <c r="M89" s="149">
        <f t="shared" si="77"/>
        <v>0</v>
      </c>
    </row>
    <row r="90" spans="2:13">
      <c r="B90" s="137">
        <f t="shared" si="74"/>
        <v>75</v>
      </c>
      <c r="C90" s="142">
        <f t="shared" si="55"/>
        <v>2279</v>
      </c>
      <c r="D90" s="148">
        <f t="shared" si="71"/>
        <v>0</v>
      </c>
      <c r="E90" s="148">
        <f t="shared" si="78"/>
        <v>0</v>
      </c>
      <c r="F90" s="148">
        <f t="shared" si="75"/>
        <v>0</v>
      </c>
      <c r="G90" s="148">
        <f t="shared" ref="G90:J99" si="86">G89</f>
        <v>0</v>
      </c>
      <c r="H90" s="148">
        <f t="shared" ref="H90" si="87">H89</f>
        <v>0</v>
      </c>
      <c r="I90" s="148">
        <f t="shared" si="73"/>
        <v>0</v>
      </c>
      <c r="J90" s="148">
        <f t="shared" si="86"/>
        <v>0</v>
      </c>
      <c r="K90" s="148"/>
      <c r="L90" s="149">
        <f t="shared" si="80"/>
        <v>0</v>
      </c>
      <c r="M90" s="149">
        <f t="shared" si="77"/>
        <v>0</v>
      </c>
    </row>
    <row r="91" spans="2:13">
      <c r="B91" s="137">
        <f t="shared" si="74"/>
        <v>76</v>
      </c>
      <c r="C91" s="142">
        <f t="shared" si="55"/>
        <v>2310</v>
      </c>
      <c r="D91" s="148">
        <f t="shared" si="71"/>
        <v>0</v>
      </c>
      <c r="E91" s="148">
        <f t="shared" si="78"/>
        <v>0</v>
      </c>
      <c r="F91" s="148">
        <f t="shared" si="75"/>
        <v>0</v>
      </c>
      <c r="G91" s="148">
        <f t="shared" si="86"/>
        <v>0</v>
      </c>
      <c r="H91" s="148">
        <f t="shared" ref="H91" si="88">H90</f>
        <v>0</v>
      </c>
      <c r="I91" s="148">
        <f t="shared" si="73"/>
        <v>0</v>
      </c>
      <c r="J91" s="148">
        <f t="shared" si="86"/>
        <v>0</v>
      </c>
      <c r="K91" s="148"/>
      <c r="L91" s="149">
        <f t="shared" si="80"/>
        <v>0</v>
      </c>
      <c r="M91" s="149">
        <f t="shared" si="77"/>
        <v>0</v>
      </c>
    </row>
    <row r="92" spans="2:13">
      <c r="B92" s="137">
        <f t="shared" si="74"/>
        <v>77</v>
      </c>
      <c r="C92" s="142">
        <f t="shared" si="55"/>
        <v>2340</v>
      </c>
      <c r="D92" s="148">
        <f t="shared" si="71"/>
        <v>0</v>
      </c>
      <c r="E92" s="148">
        <f t="shared" si="78"/>
        <v>0</v>
      </c>
      <c r="F92" s="148">
        <f t="shared" si="75"/>
        <v>0</v>
      </c>
      <c r="G92" s="148">
        <f t="shared" si="86"/>
        <v>0</v>
      </c>
      <c r="H92" s="148">
        <f t="shared" ref="H92" si="89">H91</f>
        <v>0</v>
      </c>
      <c r="I92" s="148">
        <f t="shared" si="73"/>
        <v>0</v>
      </c>
      <c r="J92" s="148">
        <f t="shared" si="86"/>
        <v>0</v>
      </c>
      <c r="K92" s="148"/>
      <c r="L92" s="149">
        <f t="shared" si="80"/>
        <v>0</v>
      </c>
      <c r="M92" s="149">
        <f t="shared" si="77"/>
        <v>0</v>
      </c>
    </row>
    <row r="93" spans="2:13">
      <c r="B93" s="137">
        <f t="shared" si="74"/>
        <v>78</v>
      </c>
      <c r="C93" s="142">
        <f t="shared" si="55"/>
        <v>2371</v>
      </c>
      <c r="D93" s="148">
        <f t="shared" si="71"/>
        <v>0</v>
      </c>
      <c r="E93" s="148">
        <f t="shared" si="78"/>
        <v>0</v>
      </c>
      <c r="F93" s="148">
        <f t="shared" si="75"/>
        <v>0</v>
      </c>
      <c r="G93" s="148">
        <f t="shared" si="86"/>
        <v>0</v>
      </c>
      <c r="H93" s="148">
        <f t="shared" ref="H93" si="90">H92</f>
        <v>0</v>
      </c>
      <c r="I93" s="148">
        <f t="shared" si="73"/>
        <v>0</v>
      </c>
      <c r="J93" s="148">
        <f t="shared" si="86"/>
        <v>0</v>
      </c>
      <c r="K93" s="148"/>
      <c r="L93" s="149">
        <f t="shared" si="80"/>
        <v>0</v>
      </c>
      <c r="M93" s="149">
        <f t="shared" si="77"/>
        <v>0</v>
      </c>
    </row>
    <row r="94" spans="2:13">
      <c r="B94" s="137">
        <f t="shared" si="74"/>
        <v>79</v>
      </c>
      <c r="C94" s="142">
        <f t="shared" si="55"/>
        <v>2401</v>
      </c>
      <c r="D94" s="148">
        <f t="shared" si="71"/>
        <v>0</v>
      </c>
      <c r="E94" s="148">
        <f t="shared" si="78"/>
        <v>0</v>
      </c>
      <c r="F94" s="148">
        <f t="shared" si="75"/>
        <v>0</v>
      </c>
      <c r="G94" s="148">
        <f t="shared" si="86"/>
        <v>0</v>
      </c>
      <c r="H94" s="148">
        <f t="shared" ref="H94" si="91">H93</f>
        <v>0</v>
      </c>
      <c r="I94" s="148">
        <f t="shared" si="73"/>
        <v>0</v>
      </c>
      <c r="J94" s="148">
        <f t="shared" si="86"/>
        <v>0</v>
      </c>
      <c r="K94" s="148"/>
      <c r="L94" s="149">
        <f t="shared" si="80"/>
        <v>0</v>
      </c>
      <c r="M94" s="149">
        <f t="shared" si="77"/>
        <v>0</v>
      </c>
    </row>
    <row r="95" spans="2:13">
      <c r="B95" s="137">
        <f t="shared" si="74"/>
        <v>80</v>
      </c>
      <c r="C95" s="142">
        <f t="shared" si="55"/>
        <v>2432</v>
      </c>
      <c r="D95" s="148">
        <f t="shared" si="71"/>
        <v>0</v>
      </c>
      <c r="E95" s="148">
        <f t="shared" si="78"/>
        <v>0</v>
      </c>
      <c r="F95" s="148">
        <f t="shared" si="75"/>
        <v>0</v>
      </c>
      <c r="G95" s="148">
        <f t="shared" si="86"/>
        <v>0</v>
      </c>
      <c r="H95" s="148">
        <f t="shared" ref="H95" si="92">H94</f>
        <v>0</v>
      </c>
      <c r="I95" s="148">
        <f t="shared" si="73"/>
        <v>0</v>
      </c>
      <c r="J95" s="148">
        <f t="shared" si="86"/>
        <v>0</v>
      </c>
      <c r="K95" s="148"/>
      <c r="L95" s="149">
        <f t="shared" si="80"/>
        <v>0</v>
      </c>
      <c r="M95" s="149">
        <f t="shared" si="77"/>
        <v>0</v>
      </c>
    </row>
    <row r="96" spans="2:13">
      <c r="B96" s="137">
        <f t="shared" si="74"/>
        <v>81</v>
      </c>
      <c r="C96" s="142">
        <f t="shared" si="55"/>
        <v>2463</v>
      </c>
      <c r="D96" s="148">
        <f t="shared" si="71"/>
        <v>0</v>
      </c>
      <c r="E96" s="148">
        <f t="shared" si="78"/>
        <v>0</v>
      </c>
      <c r="F96" s="148">
        <f t="shared" si="75"/>
        <v>0</v>
      </c>
      <c r="G96" s="148">
        <f t="shared" si="86"/>
        <v>0</v>
      </c>
      <c r="H96" s="148">
        <f t="shared" ref="H96" si="93">H95</f>
        <v>0</v>
      </c>
      <c r="I96" s="148">
        <f t="shared" si="73"/>
        <v>0</v>
      </c>
      <c r="J96" s="148">
        <f t="shared" si="86"/>
        <v>0</v>
      </c>
      <c r="K96" s="148"/>
      <c r="L96" s="149">
        <f t="shared" si="80"/>
        <v>0</v>
      </c>
      <c r="M96" s="149">
        <f t="shared" si="77"/>
        <v>0</v>
      </c>
    </row>
    <row r="97" spans="2:13">
      <c r="B97" s="137">
        <f t="shared" ref="B97:B112" si="94">B96+1</f>
        <v>82</v>
      </c>
      <c r="C97" s="142">
        <f t="shared" si="55"/>
        <v>2493</v>
      </c>
      <c r="D97" s="148">
        <f t="shared" si="71"/>
        <v>0</v>
      </c>
      <c r="E97" s="148">
        <f t="shared" si="78"/>
        <v>0</v>
      </c>
      <c r="F97" s="148">
        <f t="shared" si="75"/>
        <v>0</v>
      </c>
      <c r="G97" s="148">
        <f t="shared" si="86"/>
        <v>0</v>
      </c>
      <c r="H97" s="148">
        <f t="shared" ref="H97" si="95">H96</f>
        <v>0</v>
      </c>
      <c r="I97" s="148">
        <f t="shared" si="73"/>
        <v>0</v>
      </c>
      <c r="J97" s="148">
        <f t="shared" si="86"/>
        <v>0</v>
      </c>
      <c r="K97" s="148"/>
      <c r="L97" s="149">
        <f t="shared" si="80"/>
        <v>0</v>
      </c>
      <c r="M97" s="149">
        <f t="shared" si="77"/>
        <v>0</v>
      </c>
    </row>
    <row r="98" spans="2:13">
      <c r="B98" s="137">
        <f t="shared" si="94"/>
        <v>83</v>
      </c>
      <c r="C98" s="142">
        <f t="shared" si="55"/>
        <v>2524</v>
      </c>
      <c r="D98" s="148">
        <f t="shared" si="71"/>
        <v>0</v>
      </c>
      <c r="E98" s="148">
        <f t="shared" si="78"/>
        <v>0</v>
      </c>
      <c r="F98" s="148">
        <f t="shared" si="75"/>
        <v>0</v>
      </c>
      <c r="G98" s="148">
        <f t="shared" si="86"/>
        <v>0</v>
      </c>
      <c r="H98" s="148">
        <f t="shared" ref="H98" si="96">H97</f>
        <v>0</v>
      </c>
      <c r="I98" s="148">
        <f t="shared" si="73"/>
        <v>0</v>
      </c>
      <c r="J98" s="148">
        <f t="shared" si="86"/>
        <v>0</v>
      </c>
      <c r="K98" s="148"/>
      <c r="L98" s="149">
        <f t="shared" si="80"/>
        <v>0</v>
      </c>
      <c r="M98" s="149">
        <f t="shared" si="77"/>
        <v>0</v>
      </c>
    </row>
    <row r="99" spans="2:13">
      <c r="B99" s="137">
        <f t="shared" si="94"/>
        <v>84</v>
      </c>
      <c r="C99" s="142">
        <f t="shared" si="55"/>
        <v>2554</v>
      </c>
      <c r="D99" s="148">
        <f t="shared" si="71"/>
        <v>0</v>
      </c>
      <c r="E99" s="148">
        <f t="shared" si="78"/>
        <v>0</v>
      </c>
      <c r="F99" s="148">
        <f t="shared" si="75"/>
        <v>0</v>
      </c>
      <c r="G99" s="148">
        <f t="shared" si="86"/>
        <v>0</v>
      </c>
      <c r="H99" s="148">
        <f t="shared" ref="H99" si="97">H98</f>
        <v>0</v>
      </c>
      <c r="I99" s="148">
        <f t="shared" si="73"/>
        <v>0</v>
      </c>
      <c r="J99" s="148">
        <f t="shared" si="86"/>
        <v>0</v>
      </c>
      <c r="K99" s="148"/>
      <c r="L99" s="149">
        <f t="shared" si="80"/>
        <v>0</v>
      </c>
      <c r="M99" s="149">
        <f t="shared" si="77"/>
        <v>0</v>
      </c>
    </row>
    <row r="100" spans="2:13">
      <c r="B100" s="137">
        <f t="shared" si="94"/>
        <v>85</v>
      </c>
      <c r="C100" s="142">
        <f t="shared" si="55"/>
        <v>2585</v>
      </c>
      <c r="D100" s="148">
        <f t="shared" si="71"/>
        <v>0</v>
      </c>
      <c r="E100" s="148">
        <f t="shared" si="78"/>
        <v>0</v>
      </c>
      <c r="F100" s="148">
        <f t="shared" si="75"/>
        <v>0</v>
      </c>
      <c r="G100" s="148">
        <f>ROUND(M99*$K$7*YEARFRAC(C99,C100),2)</f>
        <v>0</v>
      </c>
      <c r="H100" s="148">
        <f>ROUND(M99*$K$9*YEARFRAC(C99,C100),2)</f>
        <v>0</v>
      </c>
      <c r="I100" s="148">
        <f t="shared" si="73"/>
        <v>0</v>
      </c>
      <c r="J100" s="148">
        <f>ROUND(M111*$K$8*YEARFRAC(C99,C100),2)</f>
        <v>0</v>
      </c>
      <c r="K100" s="148"/>
      <c r="L100" s="149">
        <f t="shared" si="80"/>
        <v>0</v>
      </c>
      <c r="M100" s="149">
        <f t="shared" si="77"/>
        <v>0</v>
      </c>
    </row>
    <row r="101" spans="2:13">
      <c r="B101" s="137">
        <f t="shared" si="94"/>
        <v>86</v>
      </c>
      <c r="C101" s="142">
        <f t="shared" si="55"/>
        <v>2616</v>
      </c>
      <c r="D101" s="148">
        <f t="shared" si="71"/>
        <v>0</v>
      </c>
      <c r="E101" s="148">
        <f t="shared" si="78"/>
        <v>0</v>
      </c>
      <c r="F101" s="148">
        <f t="shared" si="75"/>
        <v>0</v>
      </c>
      <c r="G101" s="148">
        <f>G100</f>
        <v>0</v>
      </c>
      <c r="H101" s="148">
        <f>H100</f>
        <v>0</v>
      </c>
      <c r="I101" s="148">
        <f t="shared" si="73"/>
        <v>0</v>
      </c>
      <c r="J101" s="148">
        <f>J100</f>
        <v>0</v>
      </c>
      <c r="K101" s="148"/>
      <c r="L101" s="149">
        <f t="shared" si="80"/>
        <v>0</v>
      </c>
      <c r="M101" s="149">
        <f t="shared" si="77"/>
        <v>0</v>
      </c>
    </row>
    <row r="102" spans="2:13">
      <c r="B102" s="137">
        <f t="shared" si="94"/>
        <v>87</v>
      </c>
      <c r="C102" s="142">
        <f t="shared" si="55"/>
        <v>2644</v>
      </c>
      <c r="D102" s="148">
        <f t="shared" si="71"/>
        <v>0</v>
      </c>
      <c r="E102" s="148">
        <f t="shared" si="78"/>
        <v>0</v>
      </c>
      <c r="F102" s="148">
        <f t="shared" si="75"/>
        <v>0</v>
      </c>
      <c r="G102" s="148">
        <f t="shared" ref="G102:J111" si="98">G101</f>
        <v>0</v>
      </c>
      <c r="H102" s="148">
        <f t="shared" ref="H102" si="99">H101</f>
        <v>0</v>
      </c>
      <c r="I102" s="148">
        <f t="shared" si="73"/>
        <v>0</v>
      </c>
      <c r="J102" s="148">
        <f t="shared" si="98"/>
        <v>0</v>
      </c>
      <c r="K102" s="148"/>
      <c r="L102" s="149">
        <f t="shared" si="80"/>
        <v>0</v>
      </c>
      <c r="M102" s="149">
        <f t="shared" si="77"/>
        <v>0</v>
      </c>
    </row>
    <row r="103" spans="2:13">
      <c r="B103" s="137">
        <f t="shared" si="94"/>
        <v>88</v>
      </c>
      <c r="C103" s="142">
        <f t="shared" si="55"/>
        <v>2675</v>
      </c>
      <c r="D103" s="148">
        <f t="shared" si="71"/>
        <v>0</v>
      </c>
      <c r="E103" s="148">
        <f t="shared" si="78"/>
        <v>0</v>
      </c>
      <c r="F103" s="148">
        <f t="shared" si="75"/>
        <v>0</v>
      </c>
      <c r="G103" s="148">
        <f t="shared" si="98"/>
        <v>0</v>
      </c>
      <c r="H103" s="148">
        <f t="shared" ref="H103" si="100">H102</f>
        <v>0</v>
      </c>
      <c r="I103" s="148">
        <f t="shared" si="73"/>
        <v>0</v>
      </c>
      <c r="J103" s="148">
        <f t="shared" si="98"/>
        <v>0</v>
      </c>
      <c r="K103" s="148"/>
      <c r="L103" s="149">
        <f t="shared" si="80"/>
        <v>0</v>
      </c>
      <c r="M103" s="149">
        <f t="shared" si="77"/>
        <v>0</v>
      </c>
    </row>
    <row r="104" spans="2:13">
      <c r="B104" s="137">
        <f t="shared" si="94"/>
        <v>89</v>
      </c>
      <c r="C104" s="142">
        <f t="shared" si="55"/>
        <v>2705</v>
      </c>
      <c r="D104" s="148">
        <f t="shared" si="71"/>
        <v>0</v>
      </c>
      <c r="E104" s="148">
        <f t="shared" si="78"/>
        <v>0</v>
      </c>
      <c r="F104" s="148">
        <f t="shared" si="75"/>
        <v>0</v>
      </c>
      <c r="G104" s="148">
        <f t="shared" si="98"/>
        <v>0</v>
      </c>
      <c r="H104" s="148">
        <f t="shared" ref="H104" si="101">H103</f>
        <v>0</v>
      </c>
      <c r="I104" s="148">
        <f t="shared" si="73"/>
        <v>0</v>
      </c>
      <c r="J104" s="148">
        <f t="shared" si="98"/>
        <v>0</v>
      </c>
      <c r="K104" s="148"/>
      <c r="L104" s="149">
        <f t="shared" si="80"/>
        <v>0</v>
      </c>
      <c r="M104" s="149">
        <f t="shared" si="77"/>
        <v>0</v>
      </c>
    </row>
    <row r="105" spans="2:13">
      <c r="B105" s="137">
        <f t="shared" si="94"/>
        <v>90</v>
      </c>
      <c r="C105" s="142">
        <f t="shared" si="55"/>
        <v>2736</v>
      </c>
      <c r="D105" s="148">
        <f t="shared" si="71"/>
        <v>0</v>
      </c>
      <c r="E105" s="148">
        <f t="shared" si="78"/>
        <v>0</v>
      </c>
      <c r="F105" s="148">
        <f t="shared" si="75"/>
        <v>0</v>
      </c>
      <c r="G105" s="148">
        <f t="shared" si="98"/>
        <v>0</v>
      </c>
      <c r="H105" s="148">
        <f t="shared" ref="H105" si="102">H104</f>
        <v>0</v>
      </c>
      <c r="I105" s="148">
        <f t="shared" si="73"/>
        <v>0</v>
      </c>
      <c r="J105" s="148">
        <f t="shared" si="98"/>
        <v>0</v>
      </c>
      <c r="K105" s="148"/>
      <c r="L105" s="149">
        <f t="shared" si="80"/>
        <v>0</v>
      </c>
      <c r="M105" s="149">
        <f t="shared" si="77"/>
        <v>0</v>
      </c>
    </row>
    <row r="106" spans="2:13">
      <c r="B106" s="137">
        <f t="shared" si="94"/>
        <v>91</v>
      </c>
      <c r="C106" s="142">
        <f t="shared" si="55"/>
        <v>2766</v>
      </c>
      <c r="D106" s="148">
        <f t="shared" si="71"/>
        <v>0</v>
      </c>
      <c r="E106" s="148">
        <f t="shared" si="78"/>
        <v>0</v>
      </c>
      <c r="F106" s="148">
        <f t="shared" si="75"/>
        <v>0</v>
      </c>
      <c r="G106" s="148">
        <f t="shared" si="98"/>
        <v>0</v>
      </c>
      <c r="H106" s="148">
        <f t="shared" ref="H106" si="103">H105</f>
        <v>0</v>
      </c>
      <c r="I106" s="148">
        <f t="shared" si="73"/>
        <v>0</v>
      </c>
      <c r="J106" s="148">
        <f t="shared" si="98"/>
        <v>0</v>
      </c>
      <c r="K106" s="148"/>
      <c r="L106" s="149">
        <f t="shared" si="80"/>
        <v>0</v>
      </c>
      <c r="M106" s="149">
        <f t="shared" si="77"/>
        <v>0</v>
      </c>
    </row>
    <row r="107" spans="2:13">
      <c r="B107" s="137">
        <f t="shared" si="94"/>
        <v>92</v>
      </c>
      <c r="C107" s="142">
        <f t="shared" si="55"/>
        <v>2797</v>
      </c>
      <c r="D107" s="148">
        <f t="shared" si="71"/>
        <v>0</v>
      </c>
      <c r="E107" s="148">
        <f t="shared" si="78"/>
        <v>0</v>
      </c>
      <c r="F107" s="148">
        <f t="shared" si="75"/>
        <v>0</v>
      </c>
      <c r="G107" s="148">
        <f t="shared" si="98"/>
        <v>0</v>
      </c>
      <c r="H107" s="148">
        <f t="shared" ref="H107" si="104">H106</f>
        <v>0</v>
      </c>
      <c r="I107" s="148">
        <f t="shared" si="73"/>
        <v>0</v>
      </c>
      <c r="J107" s="148">
        <f t="shared" si="98"/>
        <v>0</v>
      </c>
      <c r="K107" s="148"/>
      <c r="L107" s="149">
        <f t="shared" si="80"/>
        <v>0</v>
      </c>
      <c r="M107" s="149">
        <f t="shared" si="77"/>
        <v>0</v>
      </c>
    </row>
    <row r="108" spans="2:13">
      <c r="B108" s="137">
        <f t="shared" si="94"/>
        <v>93</v>
      </c>
      <c r="C108" s="142">
        <f t="shared" si="55"/>
        <v>2828</v>
      </c>
      <c r="D108" s="148">
        <f t="shared" si="71"/>
        <v>0</v>
      </c>
      <c r="E108" s="148">
        <f t="shared" si="78"/>
        <v>0</v>
      </c>
      <c r="F108" s="148">
        <f t="shared" si="75"/>
        <v>0</v>
      </c>
      <c r="G108" s="148">
        <f t="shared" si="98"/>
        <v>0</v>
      </c>
      <c r="H108" s="148">
        <f t="shared" ref="H108" si="105">H107</f>
        <v>0</v>
      </c>
      <c r="I108" s="148">
        <f t="shared" si="73"/>
        <v>0</v>
      </c>
      <c r="J108" s="148">
        <f t="shared" si="98"/>
        <v>0</v>
      </c>
      <c r="K108" s="148"/>
      <c r="L108" s="149">
        <f t="shared" si="80"/>
        <v>0</v>
      </c>
      <c r="M108" s="149">
        <f t="shared" si="77"/>
        <v>0</v>
      </c>
    </row>
    <row r="109" spans="2:13">
      <c r="B109" s="137">
        <f t="shared" si="94"/>
        <v>94</v>
      </c>
      <c r="C109" s="142">
        <f t="shared" si="55"/>
        <v>2858</v>
      </c>
      <c r="D109" s="148">
        <f t="shared" si="71"/>
        <v>0</v>
      </c>
      <c r="E109" s="148">
        <f t="shared" si="78"/>
        <v>0</v>
      </c>
      <c r="F109" s="148">
        <f t="shared" si="75"/>
        <v>0</v>
      </c>
      <c r="G109" s="148">
        <f t="shared" si="98"/>
        <v>0</v>
      </c>
      <c r="H109" s="148">
        <f t="shared" ref="H109" si="106">H108</f>
        <v>0</v>
      </c>
      <c r="I109" s="148">
        <f t="shared" si="73"/>
        <v>0</v>
      </c>
      <c r="J109" s="148">
        <f t="shared" si="98"/>
        <v>0</v>
      </c>
      <c r="K109" s="148"/>
      <c r="L109" s="149">
        <f t="shared" si="80"/>
        <v>0</v>
      </c>
      <c r="M109" s="149">
        <f t="shared" si="77"/>
        <v>0</v>
      </c>
    </row>
    <row r="110" spans="2:13">
      <c r="B110" s="137">
        <f t="shared" si="94"/>
        <v>95</v>
      </c>
      <c r="C110" s="142">
        <f t="shared" si="55"/>
        <v>2889</v>
      </c>
      <c r="D110" s="148">
        <f t="shared" si="71"/>
        <v>0</v>
      </c>
      <c r="E110" s="148">
        <f t="shared" si="78"/>
        <v>0</v>
      </c>
      <c r="F110" s="148">
        <f t="shared" si="75"/>
        <v>0</v>
      </c>
      <c r="G110" s="148">
        <f t="shared" si="98"/>
        <v>0</v>
      </c>
      <c r="H110" s="148">
        <f t="shared" ref="H110" si="107">H109</f>
        <v>0</v>
      </c>
      <c r="I110" s="148">
        <f t="shared" si="73"/>
        <v>0</v>
      </c>
      <c r="J110" s="148">
        <f t="shared" si="98"/>
        <v>0</v>
      </c>
      <c r="K110" s="148"/>
      <c r="L110" s="149">
        <f t="shared" si="80"/>
        <v>0</v>
      </c>
      <c r="M110" s="149">
        <f t="shared" si="77"/>
        <v>0</v>
      </c>
    </row>
    <row r="111" spans="2:13">
      <c r="B111" s="137">
        <f t="shared" si="94"/>
        <v>96</v>
      </c>
      <c r="C111" s="142">
        <f t="shared" si="55"/>
        <v>2919</v>
      </c>
      <c r="D111" s="148">
        <f t="shared" si="71"/>
        <v>0</v>
      </c>
      <c r="E111" s="148">
        <f t="shared" si="78"/>
        <v>0</v>
      </c>
      <c r="F111" s="148">
        <f t="shared" si="75"/>
        <v>0</v>
      </c>
      <c r="G111" s="148">
        <f t="shared" si="98"/>
        <v>0</v>
      </c>
      <c r="H111" s="148">
        <f t="shared" ref="H111" si="108">H110</f>
        <v>0</v>
      </c>
      <c r="I111" s="148">
        <f t="shared" si="73"/>
        <v>0</v>
      </c>
      <c r="J111" s="148">
        <f t="shared" si="98"/>
        <v>0</v>
      </c>
      <c r="K111" s="148"/>
      <c r="L111" s="149">
        <f t="shared" si="80"/>
        <v>0</v>
      </c>
      <c r="M111" s="149">
        <f t="shared" si="77"/>
        <v>0</v>
      </c>
    </row>
    <row r="112" spans="2:13">
      <c r="B112" s="137">
        <f t="shared" si="94"/>
        <v>97</v>
      </c>
      <c r="C112" s="142">
        <f t="shared" si="55"/>
        <v>2950</v>
      </c>
      <c r="D112" s="148">
        <f t="shared" si="71"/>
        <v>0</v>
      </c>
      <c r="E112" s="148">
        <f t="shared" si="78"/>
        <v>0</v>
      </c>
      <c r="F112" s="148">
        <f t="shared" si="75"/>
        <v>0</v>
      </c>
      <c r="G112" s="148">
        <f>ROUND(M111*$K$7*YEARFRAC(C111,C112),2)</f>
        <v>0</v>
      </c>
      <c r="H112" s="148">
        <f>ROUND(M111*$K$9*YEARFRAC(C111,C112),2)</f>
        <v>0</v>
      </c>
      <c r="I112" s="148">
        <f t="shared" si="73"/>
        <v>0</v>
      </c>
      <c r="J112" s="148">
        <f>ROUND(M123*$K$8*YEARFRAC(C111,C112),2)</f>
        <v>0</v>
      </c>
      <c r="K112" s="148"/>
      <c r="L112" s="149">
        <f t="shared" si="80"/>
        <v>0</v>
      </c>
      <c r="M112" s="149">
        <f t="shared" si="77"/>
        <v>0</v>
      </c>
    </row>
    <row r="113" spans="2:13">
      <c r="B113" s="137">
        <f t="shared" ref="B113:B128" si="109">B112+1</f>
        <v>98</v>
      </c>
      <c r="C113" s="142">
        <f t="shared" si="55"/>
        <v>2981</v>
      </c>
      <c r="D113" s="148">
        <f t="shared" si="71"/>
        <v>0</v>
      </c>
      <c r="E113" s="148">
        <f t="shared" si="78"/>
        <v>0</v>
      </c>
      <c r="F113" s="148">
        <f t="shared" si="75"/>
        <v>0</v>
      </c>
      <c r="G113" s="148">
        <f>G112</f>
        <v>0</v>
      </c>
      <c r="H113" s="148">
        <f>H112</f>
        <v>0</v>
      </c>
      <c r="I113" s="148">
        <f t="shared" si="73"/>
        <v>0</v>
      </c>
      <c r="J113" s="148">
        <f>J112</f>
        <v>0</v>
      </c>
      <c r="K113" s="148"/>
      <c r="L113" s="149">
        <f t="shared" si="80"/>
        <v>0</v>
      </c>
      <c r="M113" s="149">
        <f t="shared" si="77"/>
        <v>0</v>
      </c>
    </row>
    <row r="114" spans="2:13">
      <c r="B114" s="137">
        <f t="shared" si="109"/>
        <v>99</v>
      </c>
      <c r="C114" s="142">
        <f t="shared" si="55"/>
        <v>3010</v>
      </c>
      <c r="D114" s="148">
        <f t="shared" si="71"/>
        <v>0</v>
      </c>
      <c r="E114" s="148">
        <f t="shared" si="78"/>
        <v>0</v>
      </c>
      <c r="F114" s="148">
        <f t="shared" si="75"/>
        <v>0</v>
      </c>
      <c r="G114" s="148">
        <f t="shared" ref="G114:J123" si="110">G113</f>
        <v>0</v>
      </c>
      <c r="H114" s="148">
        <f t="shared" ref="H114" si="111">H113</f>
        <v>0</v>
      </c>
      <c r="I114" s="148">
        <f t="shared" si="73"/>
        <v>0</v>
      </c>
      <c r="J114" s="148">
        <f t="shared" si="110"/>
        <v>0</v>
      </c>
      <c r="K114" s="148"/>
      <c r="L114" s="149">
        <f t="shared" si="80"/>
        <v>0</v>
      </c>
      <c r="M114" s="149">
        <f t="shared" si="77"/>
        <v>0</v>
      </c>
    </row>
    <row r="115" spans="2:13">
      <c r="B115" s="137">
        <f t="shared" si="109"/>
        <v>100</v>
      </c>
      <c r="C115" s="142">
        <f t="shared" si="55"/>
        <v>3041</v>
      </c>
      <c r="D115" s="148">
        <f t="shared" si="71"/>
        <v>0</v>
      </c>
      <c r="E115" s="148">
        <f t="shared" si="78"/>
        <v>0</v>
      </c>
      <c r="F115" s="148">
        <f t="shared" si="75"/>
        <v>0</v>
      </c>
      <c r="G115" s="148">
        <f t="shared" si="110"/>
        <v>0</v>
      </c>
      <c r="H115" s="148"/>
      <c r="I115" s="148">
        <f t="shared" si="73"/>
        <v>0</v>
      </c>
      <c r="J115" s="148">
        <f t="shared" si="110"/>
        <v>0</v>
      </c>
      <c r="K115" s="148"/>
      <c r="L115" s="149">
        <f t="shared" si="80"/>
        <v>0</v>
      </c>
      <c r="M115" s="149">
        <f t="shared" si="77"/>
        <v>0</v>
      </c>
    </row>
    <row r="116" spans="2:13">
      <c r="B116" s="137">
        <f t="shared" si="109"/>
        <v>101</v>
      </c>
      <c r="C116" s="142">
        <f t="shared" si="55"/>
        <v>3071</v>
      </c>
      <c r="D116" s="148">
        <f t="shared" si="71"/>
        <v>0</v>
      </c>
      <c r="E116" s="148">
        <f t="shared" si="78"/>
        <v>0</v>
      </c>
      <c r="F116" s="148">
        <f t="shared" si="75"/>
        <v>0</v>
      </c>
      <c r="G116" s="148">
        <f t="shared" si="110"/>
        <v>0</v>
      </c>
      <c r="H116" s="148"/>
      <c r="I116" s="148">
        <f t="shared" si="73"/>
        <v>0</v>
      </c>
      <c r="J116" s="148">
        <f t="shared" si="110"/>
        <v>0</v>
      </c>
      <c r="K116" s="148"/>
      <c r="L116" s="149">
        <f t="shared" si="80"/>
        <v>0</v>
      </c>
      <c r="M116" s="149">
        <f t="shared" si="77"/>
        <v>0</v>
      </c>
    </row>
    <row r="117" spans="2:13">
      <c r="B117" s="137">
        <f t="shared" si="109"/>
        <v>102</v>
      </c>
      <c r="C117" s="142">
        <f t="shared" si="55"/>
        <v>3102</v>
      </c>
      <c r="D117" s="148">
        <f t="shared" si="71"/>
        <v>0</v>
      </c>
      <c r="E117" s="148">
        <f t="shared" si="78"/>
        <v>0</v>
      </c>
      <c r="F117" s="148">
        <f t="shared" si="75"/>
        <v>0</v>
      </c>
      <c r="G117" s="148">
        <f t="shared" si="110"/>
        <v>0</v>
      </c>
      <c r="H117" s="148"/>
      <c r="I117" s="148">
        <f t="shared" si="73"/>
        <v>0</v>
      </c>
      <c r="J117" s="148">
        <f t="shared" si="110"/>
        <v>0</v>
      </c>
      <c r="K117" s="148"/>
      <c r="L117" s="149">
        <f t="shared" si="80"/>
        <v>0</v>
      </c>
      <c r="M117" s="149">
        <f t="shared" si="77"/>
        <v>0</v>
      </c>
    </row>
    <row r="118" spans="2:13">
      <c r="B118" s="137">
        <f t="shared" si="109"/>
        <v>103</v>
      </c>
      <c r="C118" s="142">
        <f t="shared" si="55"/>
        <v>3132</v>
      </c>
      <c r="D118" s="148">
        <f t="shared" si="71"/>
        <v>0</v>
      </c>
      <c r="E118" s="148">
        <f t="shared" si="78"/>
        <v>0</v>
      </c>
      <c r="F118" s="148">
        <f t="shared" si="75"/>
        <v>0</v>
      </c>
      <c r="G118" s="148">
        <f t="shared" si="110"/>
        <v>0</v>
      </c>
      <c r="H118" s="148"/>
      <c r="I118" s="148">
        <f t="shared" si="73"/>
        <v>0</v>
      </c>
      <c r="J118" s="148">
        <f t="shared" si="110"/>
        <v>0</v>
      </c>
      <c r="K118" s="148"/>
      <c r="L118" s="149">
        <f t="shared" si="80"/>
        <v>0</v>
      </c>
      <c r="M118" s="149">
        <f t="shared" si="77"/>
        <v>0</v>
      </c>
    </row>
    <row r="119" spans="2:13">
      <c r="B119" s="137">
        <f t="shared" si="109"/>
        <v>104</v>
      </c>
      <c r="C119" s="142">
        <f t="shared" si="55"/>
        <v>3163</v>
      </c>
      <c r="D119" s="148">
        <f t="shared" si="71"/>
        <v>0</v>
      </c>
      <c r="E119" s="148">
        <f t="shared" si="78"/>
        <v>0</v>
      </c>
      <c r="F119" s="148">
        <f t="shared" si="75"/>
        <v>0</v>
      </c>
      <c r="G119" s="148">
        <f t="shared" si="110"/>
        <v>0</v>
      </c>
      <c r="H119" s="148"/>
      <c r="I119" s="148">
        <f t="shared" si="73"/>
        <v>0</v>
      </c>
      <c r="J119" s="148">
        <f t="shared" si="110"/>
        <v>0</v>
      </c>
      <c r="K119" s="148"/>
      <c r="L119" s="149">
        <f t="shared" si="80"/>
        <v>0</v>
      </c>
      <c r="M119" s="149">
        <f t="shared" si="77"/>
        <v>0</v>
      </c>
    </row>
    <row r="120" spans="2:13">
      <c r="B120" s="137">
        <f t="shared" si="109"/>
        <v>105</v>
      </c>
      <c r="C120" s="142">
        <f t="shared" si="55"/>
        <v>3194</v>
      </c>
      <c r="D120" s="148">
        <f t="shared" si="71"/>
        <v>0</v>
      </c>
      <c r="E120" s="148">
        <f t="shared" si="78"/>
        <v>0</v>
      </c>
      <c r="F120" s="148">
        <f t="shared" si="75"/>
        <v>0</v>
      </c>
      <c r="G120" s="148">
        <f t="shared" si="110"/>
        <v>0</v>
      </c>
      <c r="H120" s="148"/>
      <c r="I120" s="148">
        <f t="shared" si="73"/>
        <v>0</v>
      </c>
      <c r="J120" s="148">
        <f t="shared" si="110"/>
        <v>0</v>
      </c>
      <c r="K120" s="148"/>
      <c r="L120" s="149">
        <f t="shared" si="80"/>
        <v>0</v>
      </c>
      <c r="M120" s="149">
        <f t="shared" si="77"/>
        <v>0</v>
      </c>
    </row>
    <row r="121" spans="2:13">
      <c r="B121" s="137">
        <f t="shared" si="109"/>
        <v>106</v>
      </c>
      <c r="C121" s="142">
        <f t="shared" si="55"/>
        <v>3224</v>
      </c>
      <c r="D121" s="148">
        <f t="shared" si="71"/>
        <v>0</v>
      </c>
      <c r="E121" s="148">
        <f t="shared" si="78"/>
        <v>0</v>
      </c>
      <c r="F121" s="148">
        <f t="shared" si="75"/>
        <v>0</v>
      </c>
      <c r="G121" s="148">
        <f t="shared" si="110"/>
        <v>0</v>
      </c>
      <c r="H121" s="148"/>
      <c r="I121" s="148">
        <f t="shared" si="73"/>
        <v>0</v>
      </c>
      <c r="J121" s="148">
        <f t="shared" si="110"/>
        <v>0</v>
      </c>
      <c r="K121" s="148"/>
      <c r="L121" s="149">
        <f t="shared" si="80"/>
        <v>0</v>
      </c>
      <c r="M121" s="149">
        <f t="shared" si="77"/>
        <v>0</v>
      </c>
    </row>
    <row r="122" spans="2:13">
      <c r="B122" s="137">
        <f t="shared" si="109"/>
        <v>107</v>
      </c>
      <c r="C122" s="142">
        <f t="shared" si="55"/>
        <v>3255</v>
      </c>
      <c r="D122" s="148">
        <f t="shared" si="71"/>
        <v>0</v>
      </c>
      <c r="E122" s="148">
        <f t="shared" si="78"/>
        <v>0</v>
      </c>
      <c r="F122" s="148">
        <f t="shared" si="75"/>
        <v>0</v>
      </c>
      <c r="G122" s="148">
        <f t="shared" si="110"/>
        <v>0</v>
      </c>
      <c r="H122" s="148"/>
      <c r="I122" s="148">
        <f t="shared" si="73"/>
        <v>0</v>
      </c>
      <c r="J122" s="148">
        <f t="shared" si="110"/>
        <v>0</v>
      </c>
      <c r="K122" s="148"/>
      <c r="L122" s="149">
        <f t="shared" si="80"/>
        <v>0</v>
      </c>
      <c r="M122" s="149">
        <f t="shared" si="77"/>
        <v>0</v>
      </c>
    </row>
    <row r="123" spans="2:13">
      <c r="B123" s="137">
        <f t="shared" si="109"/>
        <v>108</v>
      </c>
      <c r="C123" s="142">
        <f t="shared" si="55"/>
        <v>3285</v>
      </c>
      <c r="D123" s="148">
        <f t="shared" si="71"/>
        <v>0</v>
      </c>
      <c r="E123" s="148">
        <f t="shared" si="78"/>
        <v>0</v>
      </c>
      <c r="F123" s="148">
        <f t="shared" si="75"/>
        <v>0</v>
      </c>
      <c r="G123" s="148">
        <f t="shared" si="110"/>
        <v>0</v>
      </c>
      <c r="H123" s="148"/>
      <c r="I123" s="148">
        <f t="shared" si="73"/>
        <v>0</v>
      </c>
      <c r="J123" s="148">
        <f t="shared" si="110"/>
        <v>0</v>
      </c>
      <c r="K123" s="148"/>
      <c r="L123" s="149">
        <f t="shared" si="80"/>
        <v>0</v>
      </c>
      <c r="M123" s="149">
        <f t="shared" si="77"/>
        <v>0</v>
      </c>
    </row>
    <row r="124" spans="2:13">
      <c r="B124" s="137">
        <f t="shared" si="109"/>
        <v>109</v>
      </c>
      <c r="C124" s="142">
        <f t="shared" si="55"/>
        <v>3316</v>
      </c>
      <c r="D124" s="148">
        <f t="shared" si="71"/>
        <v>0</v>
      </c>
      <c r="E124" s="148">
        <f t="shared" si="78"/>
        <v>0</v>
      </c>
      <c r="F124" s="148">
        <f t="shared" si="75"/>
        <v>0</v>
      </c>
      <c r="G124" s="148">
        <f>ROUND(M123*$K$7*YEARFRAC(C123,C124),2)</f>
        <v>0</v>
      </c>
      <c r="H124" s="148"/>
      <c r="I124" s="148">
        <f t="shared" si="73"/>
        <v>0</v>
      </c>
      <c r="J124" s="148">
        <f>ROUND(M135*$K$8*YEARFRAC(C123,C124),2)</f>
        <v>0</v>
      </c>
      <c r="K124" s="148"/>
      <c r="L124" s="149">
        <f t="shared" si="80"/>
        <v>0</v>
      </c>
      <c r="M124" s="149">
        <f t="shared" si="77"/>
        <v>0</v>
      </c>
    </row>
    <row r="125" spans="2:13">
      <c r="B125" s="137">
        <f t="shared" si="109"/>
        <v>110</v>
      </c>
      <c r="C125" s="142">
        <f t="shared" si="55"/>
        <v>3347</v>
      </c>
      <c r="D125" s="148">
        <f t="shared" si="71"/>
        <v>0</v>
      </c>
      <c r="E125" s="148">
        <f t="shared" si="78"/>
        <v>0</v>
      </c>
      <c r="F125" s="148">
        <f t="shared" si="75"/>
        <v>0</v>
      </c>
      <c r="G125" s="148">
        <f>G124</f>
        <v>0</v>
      </c>
      <c r="H125" s="148"/>
      <c r="I125" s="148">
        <f t="shared" si="73"/>
        <v>0</v>
      </c>
      <c r="J125" s="148">
        <f>J124</f>
        <v>0</v>
      </c>
      <c r="K125" s="148"/>
      <c r="L125" s="149">
        <f t="shared" si="80"/>
        <v>0</v>
      </c>
      <c r="M125" s="149">
        <f t="shared" si="77"/>
        <v>0</v>
      </c>
    </row>
    <row r="126" spans="2:13">
      <c r="B126" s="137">
        <f t="shared" si="109"/>
        <v>111</v>
      </c>
      <c r="C126" s="142">
        <f t="shared" si="55"/>
        <v>3375</v>
      </c>
      <c r="D126" s="148">
        <f t="shared" si="71"/>
        <v>0</v>
      </c>
      <c r="E126" s="148">
        <f t="shared" si="78"/>
        <v>0</v>
      </c>
      <c r="F126" s="148">
        <f t="shared" si="75"/>
        <v>0</v>
      </c>
      <c r="G126" s="148">
        <f t="shared" ref="G126:J135" si="112">G125</f>
        <v>0</v>
      </c>
      <c r="H126" s="148"/>
      <c r="I126" s="148">
        <f t="shared" si="73"/>
        <v>0</v>
      </c>
      <c r="J126" s="148">
        <f t="shared" si="112"/>
        <v>0</v>
      </c>
      <c r="K126" s="148"/>
      <c r="L126" s="149">
        <f t="shared" si="80"/>
        <v>0</v>
      </c>
      <c r="M126" s="149">
        <f t="shared" si="77"/>
        <v>0</v>
      </c>
    </row>
    <row r="127" spans="2:13">
      <c r="B127" s="137">
        <f t="shared" si="109"/>
        <v>112</v>
      </c>
      <c r="C127" s="142">
        <f t="shared" si="55"/>
        <v>3406</v>
      </c>
      <c r="D127" s="148">
        <f t="shared" si="71"/>
        <v>0</v>
      </c>
      <c r="E127" s="148">
        <f t="shared" si="78"/>
        <v>0</v>
      </c>
      <c r="F127" s="148">
        <f t="shared" si="75"/>
        <v>0</v>
      </c>
      <c r="G127" s="148">
        <f t="shared" si="112"/>
        <v>0</v>
      </c>
      <c r="H127" s="148"/>
      <c r="I127" s="148">
        <f t="shared" si="73"/>
        <v>0</v>
      </c>
      <c r="J127" s="148">
        <f t="shared" si="112"/>
        <v>0</v>
      </c>
      <c r="K127" s="148"/>
      <c r="L127" s="149">
        <f t="shared" si="80"/>
        <v>0</v>
      </c>
      <c r="M127" s="149">
        <f t="shared" si="77"/>
        <v>0</v>
      </c>
    </row>
    <row r="128" spans="2:13">
      <c r="B128" s="137">
        <f t="shared" si="109"/>
        <v>113</v>
      </c>
      <c r="C128" s="142">
        <f t="shared" ref="C128:C191" si="113">EDATE(C127,1)</f>
        <v>3436</v>
      </c>
      <c r="D128" s="148">
        <f t="shared" si="71"/>
        <v>0</v>
      </c>
      <c r="E128" s="148">
        <f t="shared" si="78"/>
        <v>0</v>
      </c>
      <c r="F128" s="148">
        <f t="shared" si="75"/>
        <v>0</v>
      </c>
      <c r="G128" s="148">
        <f t="shared" si="112"/>
        <v>0</v>
      </c>
      <c r="H128" s="148"/>
      <c r="I128" s="148">
        <f t="shared" si="73"/>
        <v>0</v>
      </c>
      <c r="J128" s="148">
        <f t="shared" si="112"/>
        <v>0</v>
      </c>
      <c r="K128" s="148"/>
      <c r="L128" s="149">
        <f t="shared" si="80"/>
        <v>0</v>
      </c>
      <c r="M128" s="149">
        <f t="shared" si="77"/>
        <v>0</v>
      </c>
    </row>
    <row r="129" spans="2:13">
      <c r="B129" s="137">
        <f t="shared" ref="B129:B144" si="114">B128+1</f>
        <v>114</v>
      </c>
      <c r="C129" s="142">
        <f t="shared" si="113"/>
        <v>3467</v>
      </c>
      <c r="D129" s="148">
        <f t="shared" si="71"/>
        <v>0</v>
      </c>
      <c r="E129" s="148">
        <f t="shared" si="78"/>
        <v>0</v>
      </c>
      <c r="F129" s="148">
        <f t="shared" si="75"/>
        <v>0</v>
      </c>
      <c r="G129" s="148">
        <f t="shared" si="112"/>
        <v>0</v>
      </c>
      <c r="H129" s="148"/>
      <c r="I129" s="148">
        <f t="shared" si="73"/>
        <v>0</v>
      </c>
      <c r="J129" s="148">
        <f t="shared" si="112"/>
        <v>0</v>
      </c>
      <c r="K129" s="148"/>
      <c r="L129" s="149">
        <f t="shared" si="80"/>
        <v>0</v>
      </c>
      <c r="M129" s="149">
        <f t="shared" si="77"/>
        <v>0</v>
      </c>
    </row>
    <row r="130" spans="2:13">
      <c r="B130" s="137">
        <f t="shared" si="114"/>
        <v>115</v>
      </c>
      <c r="C130" s="142">
        <f t="shared" si="113"/>
        <v>3497</v>
      </c>
      <c r="D130" s="148">
        <f t="shared" si="71"/>
        <v>0</v>
      </c>
      <c r="E130" s="148">
        <f t="shared" si="78"/>
        <v>0</v>
      </c>
      <c r="F130" s="148">
        <f t="shared" si="75"/>
        <v>0</v>
      </c>
      <c r="G130" s="148">
        <f t="shared" si="112"/>
        <v>0</v>
      </c>
      <c r="H130" s="148"/>
      <c r="I130" s="148">
        <f t="shared" si="73"/>
        <v>0</v>
      </c>
      <c r="J130" s="148">
        <f t="shared" si="112"/>
        <v>0</v>
      </c>
      <c r="K130" s="148"/>
      <c r="L130" s="149">
        <f t="shared" si="80"/>
        <v>0</v>
      </c>
      <c r="M130" s="149">
        <f t="shared" si="77"/>
        <v>0</v>
      </c>
    </row>
    <row r="131" spans="2:13">
      <c r="B131" s="137">
        <f t="shared" si="114"/>
        <v>116</v>
      </c>
      <c r="C131" s="142">
        <f t="shared" si="113"/>
        <v>3528</v>
      </c>
      <c r="D131" s="148">
        <f t="shared" si="71"/>
        <v>0</v>
      </c>
      <c r="E131" s="148">
        <f t="shared" si="78"/>
        <v>0</v>
      </c>
      <c r="F131" s="148">
        <f t="shared" si="75"/>
        <v>0</v>
      </c>
      <c r="G131" s="148">
        <f t="shared" si="112"/>
        <v>0</v>
      </c>
      <c r="H131" s="148"/>
      <c r="I131" s="148">
        <f t="shared" si="73"/>
        <v>0</v>
      </c>
      <c r="J131" s="148">
        <f t="shared" si="112"/>
        <v>0</v>
      </c>
      <c r="K131" s="148"/>
      <c r="L131" s="149">
        <f t="shared" si="80"/>
        <v>0</v>
      </c>
      <c r="M131" s="149">
        <f t="shared" si="77"/>
        <v>0</v>
      </c>
    </row>
    <row r="132" spans="2:13">
      <c r="B132" s="137">
        <f t="shared" si="114"/>
        <v>117</v>
      </c>
      <c r="C132" s="142">
        <f t="shared" si="113"/>
        <v>3559</v>
      </c>
      <c r="D132" s="148">
        <f t="shared" si="71"/>
        <v>0</v>
      </c>
      <c r="E132" s="148">
        <f t="shared" si="78"/>
        <v>0</v>
      </c>
      <c r="F132" s="148">
        <f t="shared" si="75"/>
        <v>0</v>
      </c>
      <c r="G132" s="148">
        <f t="shared" si="112"/>
        <v>0</v>
      </c>
      <c r="H132" s="148"/>
      <c r="I132" s="148">
        <f t="shared" si="73"/>
        <v>0</v>
      </c>
      <c r="J132" s="148">
        <f t="shared" si="112"/>
        <v>0</v>
      </c>
      <c r="K132" s="148"/>
      <c r="L132" s="149">
        <f t="shared" si="80"/>
        <v>0</v>
      </c>
      <c r="M132" s="149">
        <f t="shared" si="77"/>
        <v>0</v>
      </c>
    </row>
    <row r="133" spans="2:13">
      <c r="B133" s="137">
        <f t="shared" si="114"/>
        <v>118</v>
      </c>
      <c r="C133" s="142">
        <f t="shared" si="113"/>
        <v>3589</v>
      </c>
      <c r="D133" s="148">
        <f t="shared" si="71"/>
        <v>0</v>
      </c>
      <c r="E133" s="148">
        <f t="shared" si="78"/>
        <v>0</v>
      </c>
      <c r="F133" s="148">
        <f t="shared" si="75"/>
        <v>0</v>
      </c>
      <c r="G133" s="148">
        <f t="shared" si="112"/>
        <v>0</v>
      </c>
      <c r="H133" s="148"/>
      <c r="I133" s="148">
        <f t="shared" si="73"/>
        <v>0</v>
      </c>
      <c r="J133" s="148">
        <f t="shared" si="112"/>
        <v>0</v>
      </c>
      <c r="K133" s="148"/>
      <c r="L133" s="149">
        <f t="shared" si="80"/>
        <v>0</v>
      </c>
      <c r="M133" s="149">
        <f t="shared" si="77"/>
        <v>0</v>
      </c>
    </row>
    <row r="134" spans="2:13">
      <c r="B134" s="137">
        <f t="shared" si="114"/>
        <v>119</v>
      </c>
      <c r="C134" s="142">
        <f t="shared" si="113"/>
        <v>3620</v>
      </c>
      <c r="D134" s="148">
        <f t="shared" si="71"/>
        <v>0</v>
      </c>
      <c r="E134" s="148">
        <f t="shared" si="78"/>
        <v>0</v>
      </c>
      <c r="F134" s="148">
        <f t="shared" si="75"/>
        <v>0</v>
      </c>
      <c r="G134" s="148">
        <f t="shared" si="112"/>
        <v>0</v>
      </c>
      <c r="H134" s="148"/>
      <c r="I134" s="148">
        <f t="shared" si="73"/>
        <v>0</v>
      </c>
      <c r="J134" s="148">
        <f t="shared" si="112"/>
        <v>0</v>
      </c>
      <c r="K134" s="148"/>
      <c r="L134" s="149">
        <f t="shared" si="80"/>
        <v>0</v>
      </c>
      <c r="M134" s="149">
        <f t="shared" si="77"/>
        <v>0</v>
      </c>
    </row>
    <row r="135" spans="2:13">
      <c r="B135" s="137">
        <f t="shared" si="114"/>
        <v>120</v>
      </c>
      <c r="C135" s="142">
        <f t="shared" si="113"/>
        <v>3650</v>
      </c>
      <c r="D135" s="148">
        <f t="shared" si="71"/>
        <v>0</v>
      </c>
      <c r="E135" s="148">
        <f t="shared" si="78"/>
        <v>0</v>
      </c>
      <c r="F135" s="148">
        <f t="shared" si="75"/>
        <v>0</v>
      </c>
      <c r="G135" s="148">
        <f t="shared" si="112"/>
        <v>0</v>
      </c>
      <c r="H135" s="148"/>
      <c r="I135" s="148">
        <f t="shared" si="73"/>
        <v>0</v>
      </c>
      <c r="J135" s="148">
        <f t="shared" si="112"/>
        <v>0</v>
      </c>
      <c r="K135" s="148"/>
      <c r="L135" s="149">
        <f t="shared" si="80"/>
        <v>0</v>
      </c>
      <c r="M135" s="149">
        <f t="shared" si="77"/>
        <v>0</v>
      </c>
    </row>
    <row r="136" spans="2:13">
      <c r="B136" s="137">
        <f t="shared" si="114"/>
        <v>121</v>
      </c>
      <c r="C136" s="142">
        <f t="shared" si="113"/>
        <v>3681</v>
      </c>
      <c r="D136" s="148">
        <f t="shared" si="71"/>
        <v>0</v>
      </c>
      <c r="E136" s="148">
        <f t="shared" si="78"/>
        <v>0</v>
      </c>
      <c r="F136" s="148">
        <f t="shared" si="75"/>
        <v>0</v>
      </c>
      <c r="G136" s="148">
        <f>ROUND(M135*$K$7*YEARFRAC(C135,C136),2)</f>
        <v>0</v>
      </c>
      <c r="H136" s="148"/>
      <c r="I136" s="148">
        <f t="shared" si="73"/>
        <v>0</v>
      </c>
      <c r="J136" s="148">
        <f>ROUND(M147*$K$8*YEARFRAC(C135,C136),2)</f>
        <v>0</v>
      </c>
      <c r="K136" s="148"/>
      <c r="L136" s="149">
        <f t="shared" si="80"/>
        <v>0</v>
      </c>
      <c r="M136" s="149">
        <f t="shared" si="77"/>
        <v>0</v>
      </c>
    </row>
    <row r="137" spans="2:13">
      <c r="B137" s="137">
        <f t="shared" si="114"/>
        <v>122</v>
      </c>
      <c r="C137" s="142">
        <f t="shared" si="113"/>
        <v>3712</v>
      </c>
      <c r="D137" s="148">
        <f t="shared" si="71"/>
        <v>0</v>
      </c>
      <c r="E137" s="148">
        <f t="shared" si="78"/>
        <v>0</v>
      </c>
      <c r="F137" s="148">
        <f t="shared" si="75"/>
        <v>0</v>
      </c>
      <c r="G137" s="148">
        <f>G136</f>
        <v>0</v>
      </c>
      <c r="H137" s="148"/>
      <c r="I137" s="148">
        <f t="shared" si="73"/>
        <v>0</v>
      </c>
      <c r="J137" s="148">
        <f>J136</f>
        <v>0</v>
      </c>
      <c r="K137" s="148"/>
      <c r="L137" s="149">
        <f t="shared" si="80"/>
        <v>0</v>
      </c>
      <c r="M137" s="149">
        <f t="shared" si="77"/>
        <v>0</v>
      </c>
    </row>
    <row r="138" spans="2:13">
      <c r="B138" s="137">
        <f t="shared" si="114"/>
        <v>123</v>
      </c>
      <c r="C138" s="142">
        <f t="shared" si="113"/>
        <v>3740</v>
      </c>
      <c r="D138" s="148">
        <f t="shared" si="71"/>
        <v>0</v>
      </c>
      <c r="E138" s="148">
        <f t="shared" si="78"/>
        <v>0</v>
      </c>
      <c r="F138" s="148">
        <f t="shared" si="75"/>
        <v>0</v>
      </c>
      <c r="G138" s="148">
        <f t="shared" ref="G138:J147" si="115">G137</f>
        <v>0</v>
      </c>
      <c r="H138" s="148"/>
      <c r="I138" s="148">
        <f t="shared" si="73"/>
        <v>0</v>
      </c>
      <c r="J138" s="148">
        <f t="shared" si="115"/>
        <v>0</v>
      </c>
      <c r="K138" s="148"/>
      <c r="L138" s="149">
        <f t="shared" si="80"/>
        <v>0</v>
      </c>
      <c r="M138" s="149">
        <f t="shared" si="77"/>
        <v>0</v>
      </c>
    </row>
    <row r="139" spans="2:13">
      <c r="B139" s="137">
        <f t="shared" si="114"/>
        <v>124</v>
      </c>
      <c r="C139" s="142">
        <f t="shared" si="113"/>
        <v>3771</v>
      </c>
      <c r="D139" s="148">
        <f t="shared" si="71"/>
        <v>0</v>
      </c>
      <c r="E139" s="148">
        <f t="shared" si="78"/>
        <v>0</v>
      </c>
      <c r="F139" s="148">
        <f t="shared" si="75"/>
        <v>0</v>
      </c>
      <c r="G139" s="148">
        <f t="shared" si="115"/>
        <v>0</v>
      </c>
      <c r="H139" s="148"/>
      <c r="I139" s="148">
        <f t="shared" si="73"/>
        <v>0</v>
      </c>
      <c r="J139" s="148">
        <f t="shared" si="115"/>
        <v>0</v>
      </c>
      <c r="K139" s="148"/>
      <c r="L139" s="149">
        <f t="shared" si="80"/>
        <v>0</v>
      </c>
      <c r="M139" s="149">
        <f t="shared" si="77"/>
        <v>0</v>
      </c>
    </row>
    <row r="140" spans="2:13">
      <c r="B140" s="137">
        <f t="shared" si="114"/>
        <v>125</v>
      </c>
      <c r="C140" s="142">
        <f t="shared" si="113"/>
        <v>3801</v>
      </c>
      <c r="D140" s="148">
        <f t="shared" si="71"/>
        <v>0</v>
      </c>
      <c r="E140" s="148">
        <f t="shared" si="78"/>
        <v>0</v>
      </c>
      <c r="F140" s="148">
        <f t="shared" si="75"/>
        <v>0</v>
      </c>
      <c r="G140" s="148">
        <f t="shared" si="115"/>
        <v>0</v>
      </c>
      <c r="H140" s="148"/>
      <c r="I140" s="148">
        <f t="shared" si="73"/>
        <v>0</v>
      </c>
      <c r="J140" s="148">
        <f t="shared" si="115"/>
        <v>0</v>
      </c>
      <c r="K140" s="148"/>
      <c r="L140" s="149">
        <f t="shared" si="80"/>
        <v>0</v>
      </c>
      <c r="M140" s="149">
        <f t="shared" si="77"/>
        <v>0</v>
      </c>
    </row>
    <row r="141" spans="2:13">
      <c r="B141" s="137">
        <f t="shared" si="114"/>
        <v>126</v>
      </c>
      <c r="C141" s="142">
        <f t="shared" si="113"/>
        <v>3832</v>
      </c>
      <c r="D141" s="148">
        <f t="shared" si="71"/>
        <v>0</v>
      </c>
      <c r="E141" s="148">
        <f t="shared" si="78"/>
        <v>0</v>
      </c>
      <c r="F141" s="148">
        <f t="shared" si="75"/>
        <v>0</v>
      </c>
      <c r="G141" s="148">
        <f t="shared" si="115"/>
        <v>0</v>
      </c>
      <c r="H141" s="148"/>
      <c r="I141" s="148">
        <f t="shared" si="73"/>
        <v>0</v>
      </c>
      <c r="J141" s="148">
        <f t="shared" si="115"/>
        <v>0</v>
      </c>
      <c r="K141" s="148"/>
      <c r="L141" s="149">
        <f t="shared" si="80"/>
        <v>0</v>
      </c>
      <c r="M141" s="149">
        <f t="shared" si="77"/>
        <v>0</v>
      </c>
    </row>
    <row r="142" spans="2:13">
      <c r="B142" s="137">
        <f t="shared" si="114"/>
        <v>127</v>
      </c>
      <c r="C142" s="142">
        <f t="shared" si="113"/>
        <v>3862</v>
      </c>
      <c r="D142" s="148">
        <f t="shared" si="71"/>
        <v>0</v>
      </c>
      <c r="E142" s="148">
        <f t="shared" si="78"/>
        <v>0</v>
      </c>
      <c r="F142" s="148">
        <f t="shared" si="75"/>
        <v>0</v>
      </c>
      <c r="G142" s="148">
        <f t="shared" si="115"/>
        <v>0</v>
      </c>
      <c r="H142" s="148"/>
      <c r="I142" s="148">
        <f t="shared" si="73"/>
        <v>0</v>
      </c>
      <c r="J142" s="148">
        <f t="shared" si="115"/>
        <v>0</v>
      </c>
      <c r="K142" s="148"/>
      <c r="L142" s="149">
        <f t="shared" si="80"/>
        <v>0</v>
      </c>
      <c r="M142" s="149">
        <f t="shared" si="77"/>
        <v>0</v>
      </c>
    </row>
    <row r="143" spans="2:13">
      <c r="B143" s="137">
        <f t="shared" si="114"/>
        <v>128</v>
      </c>
      <c r="C143" s="142">
        <f t="shared" si="113"/>
        <v>3893</v>
      </c>
      <c r="D143" s="148">
        <f t="shared" si="71"/>
        <v>0</v>
      </c>
      <c r="E143" s="148">
        <f t="shared" si="78"/>
        <v>0</v>
      </c>
      <c r="F143" s="148">
        <f t="shared" si="75"/>
        <v>0</v>
      </c>
      <c r="G143" s="148">
        <f t="shared" si="115"/>
        <v>0</v>
      </c>
      <c r="H143" s="148"/>
      <c r="I143" s="148">
        <f t="shared" si="73"/>
        <v>0</v>
      </c>
      <c r="J143" s="148">
        <f t="shared" si="115"/>
        <v>0</v>
      </c>
      <c r="K143" s="148"/>
      <c r="L143" s="149">
        <f t="shared" si="80"/>
        <v>0</v>
      </c>
      <c r="M143" s="149">
        <f t="shared" si="77"/>
        <v>0</v>
      </c>
    </row>
    <row r="144" spans="2:13">
      <c r="B144" s="137">
        <f t="shared" si="114"/>
        <v>129</v>
      </c>
      <c r="C144" s="142">
        <f t="shared" si="113"/>
        <v>3924</v>
      </c>
      <c r="D144" s="148">
        <f t="shared" ref="D144:D207" si="116">IF(B144=($C$7*12),M143,IF(B144&gt;($C$7*12),0,PPMT($K$5/12,B144,$C$9*12,-$C$5)))</f>
        <v>0</v>
      </c>
      <c r="E144" s="148">
        <f t="shared" si="78"/>
        <v>0</v>
      </c>
      <c r="F144" s="148">
        <f t="shared" si="75"/>
        <v>0</v>
      </c>
      <c r="G144" s="148">
        <f t="shared" si="115"/>
        <v>0</v>
      </c>
      <c r="H144" s="148"/>
      <c r="I144" s="148">
        <f t="shared" ref="I144:I207" si="117">ROUND($K$6*(M144+2*E146+2*G146),2)/12</f>
        <v>0</v>
      </c>
      <c r="J144" s="148">
        <f t="shared" si="115"/>
        <v>0</v>
      </c>
      <c r="K144" s="148"/>
      <c r="L144" s="149">
        <f t="shared" si="80"/>
        <v>0</v>
      </c>
      <c r="M144" s="149">
        <f t="shared" si="77"/>
        <v>0</v>
      </c>
    </row>
    <row r="145" spans="2:13">
      <c r="B145" s="137">
        <f t="shared" ref="B145:B160" si="118">B144+1</f>
        <v>130</v>
      </c>
      <c r="C145" s="142">
        <f t="shared" si="113"/>
        <v>3954</v>
      </c>
      <c r="D145" s="148">
        <f t="shared" si="116"/>
        <v>0</v>
      </c>
      <c r="E145" s="148">
        <f t="shared" si="78"/>
        <v>0</v>
      </c>
      <c r="F145" s="148">
        <f t="shared" ref="F145:F208" si="119">SUM(D145:E145)</f>
        <v>0</v>
      </c>
      <c r="G145" s="148">
        <f t="shared" si="115"/>
        <v>0</v>
      </c>
      <c r="H145" s="148"/>
      <c r="I145" s="148">
        <f t="shared" si="117"/>
        <v>0</v>
      </c>
      <c r="J145" s="148">
        <f t="shared" si="115"/>
        <v>0</v>
      </c>
      <c r="K145" s="148"/>
      <c r="L145" s="149">
        <f t="shared" si="80"/>
        <v>0</v>
      </c>
      <c r="M145" s="149">
        <f t="shared" ref="M145:M208" si="120">+M144-D145</f>
        <v>0</v>
      </c>
    </row>
    <row r="146" spans="2:13">
      <c r="B146" s="137">
        <f t="shared" si="118"/>
        <v>131</v>
      </c>
      <c r="C146" s="142">
        <f t="shared" si="113"/>
        <v>3985</v>
      </c>
      <c r="D146" s="148">
        <f t="shared" si="116"/>
        <v>0</v>
      </c>
      <c r="E146" s="148">
        <f t="shared" ref="E146:E209" si="121">($K$5)/12*M145</f>
        <v>0</v>
      </c>
      <c r="F146" s="148">
        <f t="shared" si="119"/>
        <v>0</v>
      </c>
      <c r="G146" s="148">
        <f t="shared" si="115"/>
        <v>0</v>
      </c>
      <c r="H146" s="148"/>
      <c r="I146" s="148">
        <f t="shared" si="117"/>
        <v>0</v>
      </c>
      <c r="J146" s="148">
        <f t="shared" si="115"/>
        <v>0</v>
      </c>
      <c r="K146" s="148"/>
      <c r="L146" s="149">
        <f t="shared" ref="L146:L209" si="122">SUM(F146:J146)</f>
        <v>0</v>
      </c>
      <c r="M146" s="149">
        <f t="shared" si="120"/>
        <v>0</v>
      </c>
    </row>
    <row r="147" spans="2:13">
      <c r="B147" s="137">
        <f t="shared" si="118"/>
        <v>132</v>
      </c>
      <c r="C147" s="142">
        <f t="shared" si="113"/>
        <v>4015</v>
      </c>
      <c r="D147" s="148">
        <f t="shared" si="116"/>
        <v>0</v>
      </c>
      <c r="E147" s="148">
        <f t="shared" si="121"/>
        <v>0</v>
      </c>
      <c r="F147" s="148">
        <f t="shared" si="119"/>
        <v>0</v>
      </c>
      <c r="G147" s="148">
        <f t="shared" si="115"/>
        <v>0</v>
      </c>
      <c r="H147" s="148"/>
      <c r="I147" s="148">
        <f t="shared" si="117"/>
        <v>0</v>
      </c>
      <c r="J147" s="148">
        <f t="shared" si="115"/>
        <v>0</v>
      </c>
      <c r="K147" s="148"/>
      <c r="L147" s="149">
        <f t="shared" si="122"/>
        <v>0</v>
      </c>
      <c r="M147" s="149">
        <f t="shared" si="120"/>
        <v>0</v>
      </c>
    </row>
    <row r="148" spans="2:13">
      <c r="B148" s="137">
        <f t="shared" si="118"/>
        <v>133</v>
      </c>
      <c r="C148" s="142">
        <f t="shared" si="113"/>
        <v>4046</v>
      </c>
      <c r="D148" s="148">
        <f t="shared" si="116"/>
        <v>0</v>
      </c>
      <c r="E148" s="148">
        <f t="shared" si="121"/>
        <v>0</v>
      </c>
      <c r="F148" s="148">
        <f t="shared" si="119"/>
        <v>0</v>
      </c>
      <c r="G148" s="148">
        <f>ROUND(M147*$K$7*YEARFRAC(C147,C148),2)</f>
        <v>0</v>
      </c>
      <c r="H148" s="148"/>
      <c r="I148" s="148">
        <f t="shared" si="117"/>
        <v>0</v>
      </c>
      <c r="J148" s="148">
        <f>ROUND(M159*$K$8*YEARFRAC(C147,C148),2)</f>
        <v>0</v>
      </c>
      <c r="K148" s="148"/>
      <c r="L148" s="149">
        <f t="shared" si="122"/>
        <v>0</v>
      </c>
      <c r="M148" s="149">
        <f t="shared" si="120"/>
        <v>0</v>
      </c>
    </row>
    <row r="149" spans="2:13">
      <c r="B149" s="137">
        <f t="shared" si="118"/>
        <v>134</v>
      </c>
      <c r="C149" s="142">
        <f t="shared" si="113"/>
        <v>4077</v>
      </c>
      <c r="D149" s="148">
        <f t="shared" si="116"/>
        <v>0</v>
      </c>
      <c r="E149" s="148">
        <f t="shared" si="121"/>
        <v>0</v>
      </c>
      <c r="F149" s="148">
        <f t="shared" si="119"/>
        <v>0</v>
      </c>
      <c r="G149" s="148">
        <f>G148</f>
        <v>0</v>
      </c>
      <c r="H149" s="148"/>
      <c r="I149" s="148">
        <f t="shared" si="117"/>
        <v>0</v>
      </c>
      <c r="J149" s="148">
        <f>J148</f>
        <v>0</v>
      </c>
      <c r="K149" s="148"/>
      <c r="L149" s="149">
        <f t="shared" si="122"/>
        <v>0</v>
      </c>
      <c r="M149" s="149">
        <f t="shared" si="120"/>
        <v>0</v>
      </c>
    </row>
    <row r="150" spans="2:13">
      <c r="B150" s="137">
        <f t="shared" si="118"/>
        <v>135</v>
      </c>
      <c r="C150" s="142">
        <f t="shared" si="113"/>
        <v>4105</v>
      </c>
      <c r="D150" s="148">
        <f t="shared" si="116"/>
        <v>0</v>
      </c>
      <c r="E150" s="148">
        <f t="shared" si="121"/>
        <v>0</v>
      </c>
      <c r="F150" s="148">
        <f t="shared" si="119"/>
        <v>0</v>
      </c>
      <c r="G150" s="148">
        <f t="shared" ref="G150:J159" si="123">G149</f>
        <v>0</v>
      </c>
      <c r="H150" s="148"/>
      <c r="I150" s="148">
        <f t="shared" si="117"/>
        <v>0</v>
      </c>
      <c r="J150" s="148">
        <f t="shared" si="123"/>
        <v>0</v>
      </c>
      <c r="K150" s="148"/>
      <c r="L150" s="149">
        <f t="shared" si="122"/>
        <v>0</v>
      </c>
      <c r="M150" s="149">
        <f t="shared" si="120"/>
        <v>0</v>
      </c>
    </row>
    <row r="151" spans="2:13">
      <c r="B151" s="137">
        <f t="shared" si="118"/>
        <v>136</v>
      </c>
      <c r="C151" s="142">
        <f t="shared" si="113"/>
        <v>4136</v>
      </c>
      <c r="D151" s="148">
        <f t="shared" si="116"/>
        <v>0</v>
      </c>
      <c r="E151" s="148">
        <f t="shared" si="121"/>
        <v>0</v>
      </c>
      <c r="F151" s="148">
        <f t="shared" si="119"/>
        <v>0</v>
      </c>
      <c r="G151" s="148">
        <f t="shared" si="123"/>
        <v>0</v>
      </c>
      <c r="H151" s="148"/>
      <c r="I151" s="148">
        <f t="shared" si="117"/>
        <v>0</v>
      </c>
      <c r="J151" s="148">
        <f t="shared" si="123"/>
        <v>0</v>
      </c>
      <c r="K151" s="148"/>
      <c r="L151" s="149">
        <f t="shared" si="122"/>
        <v>0</v>
      </c>
      <c r="M151" s="149">
        <f t="shared" si="120"/>
        <v>0</v>
      </c>
    </row>
    <row r="152" spans="2:13">
      <c r="B152" s="137">
        <f t="shared" si="118"/>
        <v>137</v>
      </c>
      <c r="C152" s="142">
        <f t="shared" si="113"/>
        <v>4166</v>
      </c>
      <c r="D152" s="148">
        <f t="shared" si="116"/>
        <v>0</v>
      </c>
      <c r="E152" s="148">
        <f t="shared" si="121"/>
        <v>0</v>
      </c>
      <c r="F152" s="148">
        <f t="shared" si="119"/>
        <v>0</v>
      </c>
      <c r="G152" s="148">
        <f t="shared" si="123"/>
        <v>0</v>
      </c>
      <c r="H152" s="148"/>
      <c r="I152" s="148">
        <f t="shared" si="117"/>
        <v>0</v>
      </c>
      <c r="J152" s="148">
        <f t="shared" si="123"/>
        <v>0</v>
      </c>
      <c r="K152" s="148"/>
      <c r="L152" s="149">
        <f t="shared" si="122"/>
        <v>0</v>
      </c>
      <c r="M152" s="149">
        <f t="shared" si="120"/>
        <v>0</v>
      </c>
    </row>
    <row r="153" spans="2:13">
      <c r="B153" s="137">
        <f t="shared" si="118"/>
        <v>138</v>
      </c>
      <c r="C153" s="142">
        <f t="shared" si="113"/>
        <v>4197</v>
      </c>
      <c r="D153" s="148">
        <f t="shared" si="116"/>
        <v>0</v>
      </c>
      <c r="E153" s="148">
        <f t="shared" si="121"/>
        <v>0</v>
      </c>
      <c r="F153" s="148">
        <f t="shared" si="119"/>
        <v>0</v>
      </c>
      <c r="G153" s="148">
        <f t="shared" si="123"/>
        <v>0</v>
      </c>
      <c r="H153" s="148"/>
      <c r="I153" s="148">
        <f t="shared" si="117"/>
        <v>0</v>
      </c>
      <c r="J153" s="148">
        <f t="shared" si="123"/>
        <v>0</v>
      </c>
      <c r="K153" s="148"/>
      <c r="L153" s="149">
        <f t="shared" si="122"/>
        <v>0</v>
      </c>
      <c r="M153" s="149">
        <f t="shared" si="120"/>
        <v>0</v>
      </c>
    </row>
    <row r="154" spans="2:13">
      <c r="B154" s="137">
        <f t="shared" si="118"/>
        <v>139</v>
      </c>
      <c r="C154" s="142">
        <f t="shared" si="113"/>
        <v>4227</v>
      </c>
      <c r="D154" s="148">
        <f t="shared" si="116"/>
        <v>0</v>
      </c>
      <c r="E154" s="148">
        <f t="shared" si="121"/>
        <v>0</v>
      </c>
      <c r="F154" s="148">
        <f t="shared" si="119"/>
        <v>0</v>
      </c>
      <c r="G154" s="148">
        <f t="shared" si="123"/>
        <v>0</v>
      </c>
      <c r="H154" s="148"/>
      <c r="I154" s="148">
        <f t="shared" si="117"/>
        <v>0</v>
      </c>
      <c r="J154" s="148">
        <f t="shared" si="123"/>
        <v>0</v>
      </c>
      <c r="K154" s="148"/>
      <c r="L154" s="149">
        <f t="shared" si="122"/>
        <v>0</v>
      </c>
      <c r="M154" s="149">
        <f t="shared" si="120"/>
        <v>0</v>
      </c>
    </row>
    <row r="155" spans="2:13">
      <c r="B155" s="137">
        <f t="shared" si="118"/>
        <v>140</v>
      </c>
      <c r="C155" s="142">
        <f t="shared" si="113"/>
        <v>4258</v>
      </c>
      <c r="D155" s="148">
        <f t="shared" si="116"/>
        <v>0</v>
      </c>
      <c r="E155" s="148">
        <f t="shared" si="121"/>
        <v>0</v>
      </c>
      <c r="F155" s="148">
        <f t="shared" si="119"/>
        <v>0</v>
      </c>
      <c r="G155" s="148">
        <f t="shared" si="123"/>
        <v>0</v>
      </c>
      <c r="H155" s="148"/>
      <c r="I155" s="148">
        <f t="shared" si="117"/>
        <v>0</v>
      </c>
      <c r="J155" s="148">
        <f t="shared" si="123"/>
        <v>0</v>
      </c>
      <c r="K155" s="148"/>
      <c r="L155" s="149">
        <f t="shared" si="122"/>
        <v>0</v>
      </c>
      <c r="M155" s="149">
        <f t="shared" si="120"/>
        <v>0</v>
      </c>
    </row>
    <row r="156" spans="2:13">
      <c r="B156" s="137">
        <f t="shared" si="118"/>
        <v>141</v>
      </c>
      <c r="C156" s="142">
        <f t="shared" si="113"/>
        <v>4289</v>
      </c>
      <c r="D156" s="148">
        <f t="shared" si="116"/>
        <v>0</v>
      </c>
      <c r="E156" s="148">
        <f t="shared" si="121"/>
        <v>0</v>
      </c>
      <c r="F156" s="148">
        <f t="shared" si="119"/>
        <v>0</v>
      </c>
      <c r="G156" s="148">
        <f t="shared" si="123"/>
        <v>0</v>
      </c>
      <c r="H156" s="148"/>
      <c r="I156" s="148">
        <f t="shared" si="117"/>
        <v>0</v>
      </c>
      <c r="J156" s="148">
        <f t="shared" si="123"/>
        <v>0</v>
      </c>
      <c r="K156" s="148"/>
      <c r="L156" s="149">
        <f t="shared" si="122"/>
        <v>0</v>
      </c>
      <c r="M156" s="149">
        <f t="shared" si="120"/>
        <v>0</v>
      </c>
    </row>
    <row r="157" spans="2:13">
      <c r="B157" s="137">
        <f t="shared" si="118"/>
        <v>142</v>
      </c>
      <c r="C157" s="142">
        <f t="shared" si="113"/>
        <v>4319</v>
      </c>
      <c r="D157" s="148">
        <f t="shared" si="116"/>
        <v>0</v>
      </c>
      <c r="E157" s="148">
        <f t="shared" si="121"/>
        <v>0</v>
      </c>
      <c r="F157" s="148">
        <f t="shared" si="119"/>
        <v>0</v>
      </c>
      <c r="G157" s="148">
        <f t="shared" si="123"/>
        <v>0</v>
      </c>
      <c r="H157" s="148"/>
      <c r="I157" s="148">
        <f t="shared" si="117"/>
        <v>0</v>
      </c>
      <c r="J157" s="148">
        <f t="shared" si="123"/>
        <v>0</v>
      </c>
      <c r="K157" s="148"/>
      <c r="L157" s="149">
        <f t="shared" si="122"/>
        <v>0</v>
      </c>
      <c r="M157" s="149">
        <f t="shared" si="120"/>
        <v>0</v>
      </c>
    </row>
    <row r="158" spans="2:13">
      <c r="B158" s="137">
        <f t="shared" si="118"/>
        <v>143</v>
      </c>
      <c r="C158" s="142">
        <f t="shared" si="113"/>
        <v>4350</v>
      </c>
      <c r="D158" s="148">
        <f t="shared" si="116"/>
        <v>0</v>
      </c>
      <c r="E158" s="148">
        <f t="shared" si="121"/>
        <v>0</v>
      </c>
      <c r="F158" s="148">
        <f t="shared" si="119"/>
        <v>0</v>
      </c>
      <c r="G158" s="148">
        <f t="shared" si="123"/>
        <v>0</v>
      </c>
      <c r="H158" s="148"/>
      <c r="I158" s="148">
        <f t="shared" si="117"/>
        <v>0</v>
      </c>
      <c r="J158" s="148">
        <f t="shared" si="123"/>
        <v>0</v>
      </c>
      <c r="K158" s="148"/>
      <c r="L158" s="149">
        <f t="shared" si="122"/>
        <v>0</v>
      </c>
      <c r="M158" s="149">
        <f t="shared" si="120"/>
        <v>0</v>
      </c>
    </row>
    <row r="159" spans="2:13">
      <c r="B159" s="137">
        <f t="shared" si="118"/>
        <v>144</v>
      </c>
      <c r="C159" s="142">
        <f t="shared" si="113"/>
        <v>4380</v>
      </c>
      <c r="D159" s="148">
        <f t="shared" si="116"/>
        <v>0</v>
      </c>
      <c r="E159" s="148">
        <f t="shared" si="121"/>
        <v>0</v>
      </c>
      <c r="F159" s="148">
        <f t="shared" si="119"/>
        <v>0</v>
      </c>
      <c r="G159" s="148">
        <f t="shared" si="123"/>
        <v>0</v>
      </c>
      <c r="H159" s="148"/>
      <c r="I159" s="148">
        <f t="shared" si="117"/>
        <v>0</v>
      </c>
      <c r="J159" s="148">
        <f t="shared" si="123"/>
        <v>0</v>
      </c>
      <c r="K159" s="148"/>
      <c r="L159" s="149">
        <f t="shared" si="122"/>
        <v>0</v>
      </c>
      <c r="M159" s="149">
        <f t="shared" si="120"/>
        <v>0</v>
      </c>
    </row>
    <row r="160" spans="2:13">
      <c r="B160" s="137">
        <f t="shared" si="118"/>
        <v>145</v>
      </c>
      <c r="C160" s="142">
        <f t="shared" si="113"/>
        <v>4411</v>
      </c>
      <c r="D160" s="148">
        <f t="shared" si="116"/>
        <v>0</v>
      </c>
      <c r="E160" s="148">
        <f t="shared" si="121"/>
        <v>0</v>
      </c>
      <c r="F160" s="148">
        <f t="shared" si="119"/>
        <v>0</v>
      </c>
      <c r="G160" s="148">
        <f>ROUND(M159*$K$7*YEARFRAC(C159,C160),2)</f>
        <v>0</v>
      </c>
      <c r="H160" s="148"/>
      <c r="I160" s="148">
        <f t="shared" si="117"/>
        <v>0</v>
      </c>
      <c r="J160" s="148">
        <f>ROUND(M171*$K$8*YEARFRAC(C159,C160),2)</f>
        <v>0</v>
      </c>
      <c r="K160" s="148"/>
      <c r="L160" s="149">
        <f t="shared" si="122"/>
        <v>0</v>
      </c>
      <c r="M160" s="149">
        <f t="shared" si="120"/>
        <v>0</v>
      </c>
    </row>
    <row r="161" spans="2:13">
      <c r="B161" s="137">
        <f t="shared" ref="B161:B176" si="124">B160+1</f>
        <v>146</v>
      </c>
      <c r="C161" s="142">
        <f t="shared" si="113"/>
        <v>4442</v>
      </c>
      <c r="D161" s="148">
        <f t="shared" si="116"/>
        <v>0</v>
      </c>
      <c r="E161" s="148">
        <f t="shared" si="121"/>
        <v>0</v>
      </c>
      <c r="F161" s="148">
        <f t="shared" si="119"/>
        <v>0</v>
      </c>
      <c r="G161" s="148">
        <f>G160</f>
        <v>0</v>
      </c>
      <c r="H161" s="148"/>
      <c r="I161" s="148">
        <f t="shared" si="117"/>
        <v>0</v>
      </c>
      <c r="J161" s="148">
        <f>J160</f>
        <v>0</v>
      </c>
      <c r="K161" s="148"/>
      <c r="L161" s="149">
        <f t="shared" si="122"/>
        <v>0</v>
      </c>
      <c r="M161" s="149">
        <f t="shared" si="120"/>
        <v>0</v>
      </c>
    </row>
    <row r="162" spans="2:13">
      <c r="B162" s="137">
        <f t="shared" si="124"/>
        <v>147</v>
      </c>
      <c r="C162" s="142">
        <f t="shared" si="113"/>
        <v>4471</v>
      </c>
      <c r="D162" s="148">
        <f t="shared" si="116"/>
        <v>0</v>
      </c>
      <c r="E162" s="148">
        <f t="shared" si="121"/>
        <v>0</v>
      </c>
      <c r="F162" s="148">
        <f t="shared" si="119"/>
        <v>0</v>
      </c>
      <c r="G162" s="148">
        <f t="shared" ref="G162:J171" si="125">G161</f>
        <v>0</v>
      </c>
      <c r="H162" s="148"/>
      <c r="I162" s="148">
        <f t="shared" si="117"/>
        <v>0</v>
      </c>
      <c r="J162" s="148">
        <f t="shared" si="125"/>
        <v>0</v>
      </c>
      <c r="K162" s="148"/>
      <c r="L162" s="149">
        <f t="shared" si="122"/>
        <v>0</v>
      </c>
      <c r="M162" s="149">
        <f t="shared" si="120"/>
        <v>0</v>
      </c>
    </row>
    <row r="163" spans="2:13">
      <c r="B163" s="137">
        <f t="shared" si="124"/>
        <v>148</v>
      </c>
      <c r="C163" s="142">
        <f t="shared" si="113"/>
        <v>4502</v>
      </c>
      <c r="D163" s="148">
        <f t="shared" si="116"/>
        <v>0</v>
      </c>
      <c r="E163" s="148">
        <f t="shared" si="121"/>
        <v>0</v>
      </c>
      <c r="F163" s="148">
        <f t="shared" si="119"/>
        <v>0</v>
      </c>
      <c r="G163" s="148">
        <f t="shared" si="125"/>
        <v>0</v>
      </c>
      <c r="H163" s="148"/>
      <c r="I163" s="148">
        <f t="shared" si="117"/>
        <v>0</v>
      </c>
      <c r="J163" s="148">
        <f t="shared" si="125"/>
        <v>0</v>
      </c>
      <c r="K163" s="148"/>
      <c r="L163" s="149">
        <f t="shared" si="122"/>
        <v>0</v>
      </c>
      <c r="M163" s="149">
        <f t="shared" si="120"/>
        <v>0</v>
      </c>
    </row>
    <row r="164" spans="2:13">
      <c r="B164" s="137">
        <f t="shared" si="124"/>
        <v>149</v>
      </c>
      <c r="C164" s="142">
        <f t="shared" si="113"/>
        <v>4532</v>
      </c>
      <c r="D164" s="148">
        <f t="shared" si="116"/>
        <v>0</v>
      </c>
      <c r="E164" s="148">
        <f t="shared" si="121"/>
        <v>0</v>
      </c>
      <c r="F164" s="148">
        <f t="shared" si="119"/>
        <v>0</v>
      </c>
      <c r="G164" s="148">
        <f t="shared" si="125"/>
        <v>0</v>
      </c>
      <c r="H164" s="148"/>
      <c r="I164" s="148">
        <f t="shared" si="117"/>
        <v>0</v>
      </c>
      <c r="J164" s="148">
        <f t="shared" si="125"/>
        <v>0</v>
      </c>
      <c r="K164" s="148"/>
      <c r="L164" s="149">
        <f t="shared" si="122"/>
        <v>0</v>
      </c>
      <c r="M164" s="149">
        <f t="shared" si="120"/>
        <v>0</v>
      </c>
    </row>
    <row r="165" spans="2:13">
      <c r="B165" s="137">
        <f t="shared" si="124"/>
        <v>150</v>
      </c>
      <c r="C165" s="142">
        <f t="shared" si="113"/>
        <v>4563</v>
      </c>
      <c r="D165" s="148">
        <f t="shared" si="116"/>
        <v>0</v>
      </c>
      <c r="E165" s="148">
        <f t="shared" si="121"/>
        <v>0</v>
      </c>
      <c r="F165" s="148">
        <f t="shared" si="119"/>
        <v>0</v>
      </c>
      <c r="G165" s="148">
        <f t="shared" si="125"/>
        <v>0</v>
      </c>
      <c r="H165" s="148"/>
      <c r="I165" s="148">
        <f t="shared" si="117"/>
        <v>0</v>
      </c>
      <c r="J165" s="148">
        <f t="shared" si="125"/>
        <v>0</v>
      </c>
      <c r="K165" s="148"/>
      <c r="L165" s="149">
        <f t="shared" si="122"/>
        <v>0</v>
      </c>
      <c r="M165" s="149">
        <f t="shared" si="120"/>
        <v>0</v>
      </c>
    </row>
    <row r="166" spans="2:13">
      <c r="B166" s="137">
        <f t="shared" si="124"/>
        <v>151</v>
      </c>
      <c r="C166" s="142">
        <f t="shared" si="113"/>
        <v>4593</v>
      </c>
      <c r="D166" s="148">
        <f t="shared" si="116"/>
        <v>0</v>
      </c>
      <c r="E166" s="148">
        <f t="shared" si="121"/>
        <v>0</v>
      </c>
      <c r="F166" s="148">
        <f t="shared" si="119"/>
        <v>0</v>
      </c>
      <c r="G166" s="148">
        <f t="shared" si="125"/>
        <v>0</v>
      </c>
      <c r="H166" s="148"/>
      <c r="I166" s="148">
        <f t="shared" si="117"/>
        <v>0</v>
      </c>
      <c r="J166" s="148">
        <f t="shared" si="125"/>
        <v>0</v>
      </c>
      <c r="K166" s="148"/>
      <c r="L166" s="149">
        <f t="shared" si="122"/>
        <v>0</v>
      </c>
      <c r="M166" s="149">
        <f t="shared" si="120"/>
        <v>0</v>
      </c>
    </row>
    <row r="167" spans="2:13">
      <c r="B167" s="137">
        <f t="shared" si="124"/>
        <v>152</v>
      </c>
      <c r="C167" s="142">
        <f t="shared" si="113"/>
        <v>4624</v>
      </c>
      <c r="D167" s="148">
        <f t="shared" si="116"/>
        <v>0</v>
      </c>
      <c r="E167" s="148">
        <f t="shared" si="121"/>
        <v>0</v>
      </c>
      <c r="F167" s="148">
        <f t="shared" si="119"/>
        <v>0</v>
      </c>
      <c r="G167" s="148">
        <f t="shared" si="125"/>
        <v>0</v>
      </c>
      <c r="H167" s="148"/>
      <c r="I167" s="148">
        <f t="shared" si="117"/>
        <v>0</v>
      </c>
      <c r="J167" s="148">
        <f t="shared" si="125"/>
        <v>0</v>
      </c>
      <c r="K167" s="148"/>
      <c r="L167" s="149">
        <f t="shared" si="122"/>
        <v>0</v>
      </c>
      <c r="M167" s="149">
        <f t="shared" si="120"/>
        <v>0</v>
      </c>
    </row>
    <row r="168" spans="2:13">
      <c r="B168" s="137">
        <f t="shared" si="124"/>
        <v>153</v>
      </c>
      <c r="C168" s="142">
        <f t="shared" si="113"/>
        <v>4655</v>
      </c>
      <c r="D168" s="148">
        <f t="shared" si="116"/>
        <v>0</v>
      </c>
      <c r="E168" s="148">
        <f t="shared" si="121"/>
        <v>0</v>
      </c>
      <c r="F168" s="148">
        <f t="shared" si="119"/>
        <v>0</v>
      </c>
      <c r="G168" s="148">
        <f t="shared" si="125"/>
        <v>0</v>
      </c>
      <c r="H168" s="148"/>
      <c r="I168" s="148">
        <f t="shared" si="117"/>
        <v>0</v>
      </c>
      <c r="J168" s="148">
        <f t="shared" si="125"/>
        <v>0</v>
      </c>
      <c r="K168" s="148"/>
      <c r="L168" s="149">
        <f t="shared" si="122"/>
        <v>0</v>
      </c>
      <c r="M168" s="149">
        <f t="shared" si="120"/>
        <v>0</v>
      </c>
    </row>
    <row r="169" spans="2:13">
      <c r="B169" s="137">
        <f t="shared" si="124"/>
        <v>154</v>
      </c>
      <c r="C169" s="142">
        <f t="shared" si="113"/>
        <v>4685</v>
      </c>
      <c r="D169" s="148">
        <f t="shared" si="116"/>
        <v>0</v>
      </c>
      <c r="E169" s="148">
        <f t="shared" si="121"/>
        <v>0</v>
      </c>
      <c r="F169" s="148">
        <f t="shared" si="119"/>
        <v>0</v>
      </c>
      <c r="G169" s="148">
        <f t="shared" si="125"/>
        <v>0</v>
      </c>
      <c r="H169" s="148"/>
      <c r="I169" s="148">
        <f t="shared" si="117"/>
        <v>0</v>
      </c>
      <c r="J169" s="148">
        <f t="shared" si="125"/>
        <v>0</v>
      </c>
      <c r="K169" s="148"/>
      <c r="L169" s="149">
        <f t="shared" si="122"/>
        <v>0</v>
      </c>
      <c r="M169" s="149">
        <f t="shared" si="120"/>
        <v>0</v>
      </c>
    </row>
    <row r="170" spans="2:13">
      <c r="B170" s="137">
        <f t="shared" si="124"/>
        <v>155</v>
      </c>
      <c r="C170" s="142">
        <f t="shared" si="113"/>
        <v>4716</v>
      </c>
      <c r="D170" s="148">
        <f t="shared" si="116"/>
        <v>0</v>
      </c>
      <c r="E170" s="148">
        <f t="shared" si="121"/>
        <v>0</v>
      </c>
      <c r="F170" s="148">
        <f t="shared" si="119"/>
        <v>0</v>
      </c>
      <c r="G170" s="148">
        <f t="shared" si="125"/>
        <v>0</v>
      </c>
      <c r="H170" s="148"/>
      <c r="I170" s="148">
        <f t="shared" si="117"/>
        <v>0</v>
      </c>
      <c r="J170" s="148">
        <f t="shared" si="125"/>
        <v>0</v>
      </c>
      <c r="K170" s="148"/>
      <c r="L170" s="149">
        <f t="shared" si="122"/>
        <v>0</v>
      </c>
      <c r="M170" s="149">
        <f t="shared" si="120"/>
        <v>0</v>
      </c>
    </row>
    <row r="171" spans="2:13">
      <c r="B171" s="137">
        <f t="shared" si="124"/>
        <v>156</v>
      </c>
      <c r="C171" s="142">
        <f t="shared" si="113"/>
        <v>4746</v>
      </c>
      <c r="D171" s="148">
        <f t="shared" si="116"/>
        <v>0</v>
      </c>
      <c r="E171" s="148">
        <f t="shared" si="121"/>
        <v>0</v>
      </c>
      <c r="F171" s="148">
        <f t="shared" si="119"/>
        <v>0</v>
      </c>
      <c r="G171" s="148">
        <f t="shared" si="125"/>
        <v>0</v>
      </c>
      <c r="H171" s="148"/>
      <c r="I171" s="148">
        <f t="shared" si="117"/>
        <v>0</v>
      </c>
      <c r="J171" s="148">
        <f t="shared" si="125"/>
        <v>0</v>
      </c>
      <c r="K171" s="148"/>
      <c r="L171" s="149">
        <f t="shared" si="122"/>
        <v>0</v>
      </c>
      <c r="M171" s="149">
        <f t="shared" si="120"/>
        <v>0</v>
      </c>
    </row>
    <row r="172" spans="2:13">
      <c r="B172" s="137">
        <f t="shared" si="124"/>
        <v>157</v>
      </c>
      <c r="C172" s="142">
        <f t="shared" si="113"/>
        <v>4777</v>
      </c>
      <c r="D172" s="148">
        <f t="shared" si="116"/>
        <v>0</v>
      </c>
      <c r="E172" s="148">
        <f t="shared" si="121"/>
        <v>0</v>
      </c>
      <c r="F172" s="148">
        <f t="shared" si="119"/>
        <v>0</v>
      </c>
      <c r="G172" s="148">
        <f>ROUND(M171*$K$7*YEARFRAC(C171,C172),2)</f>
        <v>0</v>
      </c>
      <c r="H172" s="148"/>
      <c r="I172" s="148">
        <f t="shared" si="117"/>
        <v>0</v>
      </c>
      <c r="J172" s="148">
        <f>ROUND(M183*$K$8*YEARFRAC(C171,C172),2)</f>
        <v>0</v>
      </c>
      <c r="K172" s="148"/>
      <c r="L172" s="149">
        <f t="shared" si="122"/>
        <v>0</v>
      </c>
      <c r="M172" s="149">
        <f t="shared" si="120"/>
        <v>0</v>
      </c>
    </row>
    <row r="173" spans="2:13">
      <c r="B173" s="137">
        <f t="shared" si="124"/>
        <v>158</v>
      </c>
      <c r="C173" s="142">
        <f t="shared" si="113"/>
        <v>4808</v>
      </c>
      <c r="D173" s="148">
        <f t="shared" si="116"/>
        <v>0</v>
      </c>
      <c r="E173" s="148">
        <f t="shared" si="121"/>
        <v>0</v>
      </c>
      <c r="F173" s="148">
        <f t="shared" si="119"/>
        <v>0</v>
      </c>
      <c r="G173" s="148">
        <f>G172</f>
        <v>0</v>
      </c>
      <c r="H173" s="148"/>
      <c r="I173" s="148">
        <f t="shared" si="117"/>
        <v>0</v>
      </c>
      <c r="J173" s="148">
        <f>J172</f>
        <v>0</v>
      </c>
      <c r="K173" s="148"/>
      <c r="L173" s="149">
        <f t="shared" si="122"/>
        <v>0</v>
      </c>
      <c r="M173" s="149">
        <f t="shared" si="120"/>
        <v>0</v>
      </c>
    </row>
    <row r="174" spans="2:13">
      <c r="B174" s="137">
        <f t="shared" si="124"/>
        <v>159</v>
      </c>
      <c r="C174" s="142">
        <f t="shared" si="113"/>
        <v>4836</v>
      </c>
      <c r="D174" s="148">
        <f t="shared" si="116"/>
        <v>0</v>
      </c>
      <c r="E174" s="148">
        <f t="shared" si="121"/>
        <v>0</v>
      </c>
      <c r="F174" s="148">
        <f t="shared" si="119"/>
        <v>0</v>
      </c>
      <c r="G174" s="148">
        <f t="shared" ref="G174:J183" si="126">G173</f>
        <v>0</v>
      </c>
      <c r="H174" s="148"/>
      <c r="I174" s="148">
        <f t="shared" si="117"/>
        <v>0</v>
      </c>
      <c r="J174" s="148">
        <f t="shared" si="126"/>
        <v>0</v>
      </c>
      <c r="K174" s="148"/>
      <c r="L174" s="149">
        <f t="shared" si="122"/>
        <v>0</v>
      </c>
      <c r="M174" s="149">
        <f t="shared" si="120"/>
        <v>0</v>
      </c>
    </row>
    <row r="175" spans="2:13">
      <c r="B175" s="137">
        <f t="shared" si="124"/>
        <v>160</v>
      </c>
      <c r="C175" s="142">
        <f t="shared" si="113"/>
        <v>4867</v>
      </c>
      <c r="D175" s="148">
        <f t="shared" si="116"/>
        <v>0</v>
      </c>
      <c r="E175" s="148">
        <f t="shared" si="121"/>
        <v>0</v>
      </c>
      <c r="F175" s="148">
        <f t="shared" si="119"/>
        <v>0</v>
      </c>
      <c r="G175" s="148">
        <f t="shared" si="126"/>
        <v>0</v>
      </c>
      <c r="H175" s="148"/>
      <c r="I175" s="148">
        <f t="shared" si="117"/>
        <v>0</v>
      </c>
      <c r="J175" s="148">
        <f t="shared" si="126"/>
        <v>0</v>
      </c>
      <c r="K175" s="148"/>
      <c r="L175" s="149">
        <f t="shared" si="122"/>
        <v>0</v>
      </c>
      <c r="M175" s="149">
        <f t="shared" si="120"/>
        <v>0</v>
      </c>
    </row>
    <row r="176" spans="2:13">
      <c r="B176" s="137">
        <f t="shared" si="124"/>
        <v>161</v>
      </c>
      <c r="C176" s="142">
        <f t="shared" si="113"/>
        <v>4897</v>
      </c>
      <c r="D176" s="148">
        <f t="shared" si="116"/>
        <v>0</v>
      </c>
      <c r="E176" s="148">
        <f t="shared" si="121"/>
        <v>0</v>
      </c>
      <c r="F176" s="148">
        <f t="shared" si="119"/>
        <v>0</v>
      </c>
      <c r="G176" s="148">
        <f t="shared" si="126"/>
        <v>0</v>
      </c>
      <c r="H176" s="148"/>
      <c r="I176" s="148">
        <f t="shared" si="117"/>
        <v>0</v>
      </c>
      <c r="J176" s="148">
        <f t="shared" si="126"/>
        <v>0</v>
      </c>
      <c r="K176" s="148"/>
      <c r="L176" s="149">
        <f t="shared" si="122"/>
        <v>0</v>
      </c>
      <c r="M176" s="149">
        <f t="shared" si="120"/>
        <v>0</v>
      </c>
    </row>
    <row r="177" spans="2:13">
      <c r="B177" s="137">
        <f t="shared" ref="B177:B192" si="127">B176+1</f>
        <v>162</v>
      </c>
      <c r="C177" s="142">
        <f t="shared" si="113"/>
        <v>4928</v>
      </c>
      <c r="D177" s="148">
        <f t="shared" si="116"/>
        <v>0</v>
      </c>
      <c r="E177" s="148">
        <f t="shared" si="121"/>
        <v>0</v>
      </c>
      <c r="F177" s="148">
        <f t="shared" si="119"/>
        <v>0</v>
      </c>
      <c r="G177" s="148">
        <f t="shared" si="126"/>
        <v>0</v>
      </c>
      <c r="H177" s="148"/>
      <c r="I177" s="148">
        <f t="shared" si="117"/>
        <v>0</v>
      </c>
      <c r="J177" s="148">
        <f t="shared" si="126"/>
        <v>0</v>
      </c>
      <c r="K177" s="148"/>
      <c r="L177" s="149">
        <f t="shared" si="122"/>
        <v>0</v>
      </c>
      <c r="M177" s="149">
        <f t="shared" si="120"/>
        <v>0</v>
      </c>
    </row>
    <row r="178" spans="2:13">
      <c r="B178" s="137">
        <f t="shared" si="127"/>
        <v>163</v>
      </c>
      <c r="C178" s="142">
        <f t="shared" si="113"/>
        <v>4958</v>
      </c>
      <c r="D178" s="148">
        <f t="shared" si="116"/>
        <v>0</v>
      </c>
      <c r="E178" s="148">
        <f t="shared" si="121"/>
        <v>0</v>
      </c>
      <c r="F178" s="148">
        <f t="shared" si="119"/>
        <v>0</v>
      </c>
      <c r="G178" s="148">
        <f t="shared" si="126"/>
        <v>0</v>
      </c>
      <c r="H178" s="148"/>
      <c r="I178" s="148">
        <f t="shared" si="117"/>
        <v>0</v>
      </c>
      <c r="J178" s="148">
        <f t="shared" si="126"/>
        <v>0</v>
      </c>
      <c r="K178" s="148"/>
      <c r="L178" s="149">
        <f t="shared" si="122"/>
        <v>0</v>
      </c>
      <c r="M178" s="149">
        <f t="shared" si="120"/>
        <v>0</v>
      </c>
    </row>
    <row r="179" spans="2:13">
      <c r="B179" s="137">
        <f t="shared" si="127"/>
        <v>164</v>
      </c>
      <c r="C179" s="142">
        <f t="shared" si="113"/>
        <v>4989</v>
      </c>
      <c r="D179" s="148">
        <f t="shared" si="116"/>
        <v>0</v>
      </c>
      <c r="E179" s="148">
        <f t="shared" si="121"/>
        <v>0</v>
      </c>
      <c r="F179" s="148">
        <f t="shared" si="119"/>
        <v>0</v>
      </c>
      <c r="G179" s="148">
        <f t="shared" si="126"/>
        <v>0</v>
      </c>
      <c r="H179" s="148"/>
      <c r="I179" s="148">
        <f t="shared" si="117"/>
        <v>0</v>
      </c>
      <c r="J179" s="148">
        <f t="shared" si="126"/>
        <v>0</v>
      </c>
      <c r="K179" s="148"/>
      <c r="L179" s="149">
        <f t="shared" si="122"/>
        <v>0</v>
      </c>
      <c r="M179" s="149">
        <f t="shared" si="120"/>
        <v>0</v>
      </c>
    </row>
    <row r="180" spans="2:13">
      <c r="B180" s="137">
        <f t="shared" si="127"/>
        <v>165</v>
      </c>
      <c r="C180" s="142">
        <f t="shared" si="113"/>
        <v>5020</v>
      </c>
      <c r="D180" s="148">
        <f t="shared" si="116"/>
        <v>0</v>
      </c>
      <c r="E180" s="148">
        <f t="shared" si="121"/>
        <v>0</v>
      </c>
      <c r="F180" s="148">
        <f t="shared" si="119"/>
        <v>0</v>
      </c>
      <c r="G180" s="148">
        <f t="shared" si="126"/>
        <v>0</v>
      </c>
      <c r="H180" s="148"/>
      <c r="I180" s="148">
        <f t="shared" si="117"/>
        <v>0</v>
      </c>
      <c r="J180" s="148">
        <f t="shared" si="126"/>
        <v>0</v>
      </c>
      <c r="K180" s="148"/>
      <c r="L180" s="149">
        <f t="shared" si="122"/>
        <v>0</v>
      </c>
      <c r="M180" s="149">
        <f t="shared" si="120"/>
        <v>0</v>
      </c>
    </row>
    <row r="181" spans="2:13">
      <c r="B181" s="137">
        <f t="shared" si="127"/>
        <v>166</v>
      </c>
      <c r="C181" s="142">
        <f t="shared" si="113"/>
        <v>5050</v>
      </c>
      <c r="D181" s="148">
        <f t="shared" si="116"/>
        <v>0</v>
      </c>
      <c r="E181" s="148">
        <f t="shared" si="121"/>
        <v>0</v>
      </c>
      <c r="F181" s="148">
        <f t="shared" si="119"/>
        <v>0</v>
      </c>
      <c r="G181" s="148">
        <f t="shared" si="126"/>
        <v>0</v>
      </c>
      <c r="H181" s="148"/>
      <c r="I181" s="148">
        <f t="shared" si="117"/>
        <v>0</v>
      </c>
      <c r="J181" s="148">
        <f t="shared" si="126"/>
        <v>0</v>
      </c>
      <c r="K181" s="148"/>
      <c r="L181" s="149">
        <f t="shared" si="122"/>
        <v>0</v>
      </c>
      <c r="M181" s="149">
        <f t="shared" si="120"/>
        <v>0</v>
      </c>
    </row>
    <row r="182" spans="2:13">
      <c r="B182" s="137">
        <f t="shared" si="127"/>
        <v>167</v>
      </c>
      <c r="C182" s="142">
        <f t="shared" si="113"/>
        <v>5081</v>
      </c>
      <c r="D182" s="148">
        <f t="shared" si="116"/>
        <v>0</v>
      </c>
      <c r="E182" s="148">
        <f t="shared" si="121"/>
        <v>0</v>
      </c>
      <c r="F182" s="148">
        <f t="shared" si="119"/>
        <v>0</v>
      </c>
      <c r="G182" s="148">
        <f t="shared" si="126"/>
        <v>0</v>
      </c>
      <c r="H182" s="148"/>
      <c r="I182" s="148">
        <f t="shared" si="117"/>
        <v>0</v>
      </c>
      <c r="J182" s="148">
        <f t="shared" si="126"/>
        <v>0</v>
      </c>
      <c r="K182" s="148"/>
      <c r="L182" s="149">
        <f t="shared" si="122"/>
        <v>0</v>
      </c>
      <c r="M182" s="149">
        <f t="shared" si="120"/>
        <v>0</v>
      </c>
    </row>
    <row r="183" spans="2:13">
      <c r="B183" s="137">
        <f t="shared" si="127"/>
        <v>168</v>
      </c>
      <c r="C183" s="142">
        <f t="shared" si="113"/>
        <v>5111</v>
      </c>
      <c r="D183" s="148">
        <f t="shared" si="116"/>
        <v>0</v>
      </c>
      <c r="E183" s="148">
        <f t="shared" si="121"/>
        <v>0</v>
      </c>
      <c r="F183" s="148">
        <f t="shared" si="119"/>
        <v>0</v>
      </c>
      <c r="G183" s="148">
        <f t="shared" si="126"/>
        <v>0</v>
      </c>
      <c r="H183" s="148"/>
      <c r="I183" s="148">
        <f t="shared" si="117"/>
        <v>0</v>
      </c>
      <c r="J183" s="148">
        <f t="shared" si="126"/>
        <v>0</v>
      </c>
      <c r="K183" s="148"/>
      <c r="L183" s="149">
        <f t="shared" si="122"/>
        <v>0</v>
      </c>
      <c r="M183" s="149">
        <f t="shared" si="120"/>
        <v>0</v>
      </c>
    </row>
    <row r="184" spans="2:13">
      <c r="B184" s="137">
        <f t="shared" si="127"/>
        <v>169</v>
      </c>
      <c r="C184" s="142">
        <f t="shared" si="113"/>
        <v>5142</v>
      </c>
      <c r="D184" s="148">
        <f t="shared" si="116"/>
        <v>0</v>
      </c>
      <c r="E184" s="148">
        <f t="shared" si="121"/>
        <v>0</v>
      </c>
      <c r="F184" s="148">
        <f t="shared" si="119"/>
        <v>0</v>
      </c>
      <c r="G184" s="148">
        <f>ROUND(M183*$K$7*YEARFRAC(C183,C184),2)</f>
        <v>0</v>
      </c>
      <c r="H184" s="148"/>
      <c r="I184" s="148">
        <f t="shared" si="117"/>
        <v>0</v>
      </c>
      <c r="J184" s="148">
        <f>ROUND(M195*$K$8*YEARFRAC(C183,C184),2)</f>
        <v>0</v>
      </c>
      <c r="K184" s="148"/>
      <c r="L184" s="149">
        <f t="shared" si="122"/>
        <v>0</v>
      </c>
      <c r="M184" s="149">
        <f t="shared" si="120"/>
        <v>0</v>
      </c>
    </row>
    <row r="185" spans="2:13">
      <c r="B185" s="137">
        <f t="shared" si="127"/>
        <v>170</v>
      </c>
      <c r="C185" s="142">
        <f t="shared" si="113"/>
        <v>5173</v>
      </c>
      <c r="D185" s="148">
        <f t="shared" si="116"/>
        <v>0</v>
      </c>
      <c r="E185" s="148">
        <f t="shared" si="121"/>
        <v>0</v>
      </c>
      <c r="F185" s="148">
        <f t="shared" si="119"/>
        <v>0</v>
      </c>
      <c r="G185" s="148">
        <f>G184</f>
        <v>0</v>
      </c>
      <c r="H185" s="148"/>
      <c r="I185" s="148">
        <f t="shared" si="117"/>
        <v>0</v>
      </c>
      <c r="J185" s="148">
        <f>J184</f>
        <v>0</v>
      </c>
      <c r="K185" s="148"/>
      <c r="L185" s="149">
        <f t="shared" si="122"/>
        <v>0</v>
      </c>
      <c r="M185" s="149">
        <f t="shared" si="120"/>
        <v>0</v>
      </c>
    </row>
    <row r="186" spans="2:13">
      <c r="B186" s="137">
        <f t="shared" si="127"/>
        <v>171</v>
      </c>
      <c r="C186" s="142">
        <f t="shared" si="113"/>
        <v>5201</v>
      </c>
      <c r="D186" s="148">
        <f t="shared" si="116"/>
        <v>0</v>
      </c>
      <c r="E186" s="148">
        <f t="shared" si="121"/>
        <v>0</v>
      </c>
      <c r="F186" s="148">
        <f t="shared" si="119"/>
        <v>0</v>
      </c>
      <c r="G186" s="148">
        <f t="shared" ref="G186:J195" si="128">G185</f>
        <v>0</v>
      </c>
      <c r="H186" s="148"/>
      <c r="I186" s="148">
        <f t="shared" si="117"/>
        <v>0</v>
      </c>
      <c r="J186" s="148">
        <f t="shared" si="128"/>
        <v>0</v>
      </c>
      <c r="K186" s="148"/>
      <c r="L186" s="149">
        <f t="shared" si="122"/>
        <v>0</v>
      </c>
      <c r="M186" s="149">
        <f t="shared" si="120"/>
        <v>0</v>
      </c>
    </row>
    <row r="187" spans="2:13">
      <c r="B187" s="137">
        <f t="shared" si="127"/>
        <v>172</v>
      </c>
      <c r="C187" s="142">
        <f t="shared" si="113"/>
        <v>5232</v>
      </c>
      <c r="D187" s="148">
        <f t="shared" si="116"/>
        <v>0</v>
      </c>
      <c r="E187" s="148">
        <f t="shared" si="121"/>
        <v>0</v>
      </c>
      <c r="F187" s="148">
        <f t="shared" si="119"/>
        <v>0</v>
      </c>
      <c r="G187" s="148">
        <f t="shared" si="128"/>
        <v>0</v>
      </c>
      <c r="H187" s="148"/>
      <c r="I187" s="148">
        <f t="shared" si="117"/>
        <v>0</v>
      </c>
      <c r="J187" s="148">
        <f t="shared" si="128"/>
        <v>0</v>
      </c>
      <c r="K187" s="148"/>
      <c r="L187" s="149">
        <f t="shared" si="122"/>
        <v>0</v>
      </c>
      <c r="M187" s="149">
        <f t="shared" si="120"/>
        <v>0</v>
      </c>
    </row>
    <row r="188" spans="2:13">
      <c r="B188" s="137">
        <f t="shared" si="127"/>
        <v>173</v>
      </c>
      <c r="C188" s="142">
        <f t="shared" si="113"/>
        <v>5262</v>
      </c>
      <c r="D188" s="148">
        <f t="shared" si="116"/>
        <v>0</v>
      </c>
      <c r="E188" s="148">
        <f t="shared" si="121"/>
        <v>0</v>
      </c>
      <c r="F188" s="148">
        <f t="shared" si="119"/>
        <v>0</v>
      </c>
      <c r="G188" s="148">
        <f t="shared" si="128"/>
        <v>0</v>
      </c>
      <c r="H188" s="148"/>
      <c r="I188" s="148">
        <f t="shared" si="117"/>
        <v>0</v>
      </c>
      <c r="J188" s="148">
        <f t="shared" si="128"/>
        <v>0</v>
      </c>
      <c r="K188" s="148"/>
      <c r="L188" s="149">
        <f t="shared" si="122"/>
        <v>0</v>
      </c>
      <c r="M188" s="149">
        <f t="shared" si="120"/>
        <v>0</v>
      </c>
    </row>
    <row r="189" spans="2:13">
      <c r="B189" s="137">
        <f t="shared" si="127"/>
        <v>174</v>
      </c>
      <c r="C189" s="142">
        <f t="shared" si="113"/>
        <v>5293</v>
      </c>
      <c r="D189" s="148">
        <f t="shared" si="116"/>
        <v>0</v>
      </c>
      <c r="E189" s="148">
        <f t="shared" si="121"/>
        <v>0</v>
      </c>
      <c r="F189" s="148">
        <f t="shared" si="119"/>
        <v>0</v>
      </c>
      <c r="G189" s="148">
        <f t="shared" si="128"/>
        <v>0</v>
      </c>
      <c r="H189" s="148"/>
      <c r="I189" s="148">
        <f t="shared" si="117"/>
        <v>0</v>
      </c>
      <c r="J189" s="148">
        <f t="shared" si="128"/>
        <v>0</v>
      </c>
      <c r="K189" s="148"/>
      <c r="L189" s="149">
        <f t="shared" si="122"/>
        <v>0</v>
      </c>
      <c r="M189" s="149">
        <f t="shared" si="120"/>
        <v>0</v>
      </c>
    </row>
    <row r="190" spans="2:13">
      <c r="B190" s="137">
        <f t="shared" si="127"/>
        <v>175</v>
      </c>
      <c r="C190" s="142">
        <f t="shared" si="113"/>
        <v>5323</v>
      </c>
      <c r="D190" s="148">
        <f t="shared" si="116"/>
        <v>0</v>
      </c>
      <c r="E190" s="148">
        <f t="shared" si="121"/>
        <v>0</v>
      </c>
      <c r="F190" s="148">
        <f t="shared" si="119"/>
        <v>0</v>
      </c>
      <c r="G190" s="148">
        <f t="shared" si="128"/>
        <v>0</v>
      </c>
      <c r="H190" s="148"/>
      <c r="I190" s="148">
        <f t="shared" si="117"/>
        <v>0</v>
      </c>
      <c r="J190" s="148">
        <f t="shared" si="128"/>
        <v>0</v>
      </c>
      <c r="K190" s="148"/>
      <c r="L190" s="149">
        <f t="shared" si="122"/>
        <v>0</v>
      </c>
      <c r="M190" s="149">
        <f t="shared" si="120"/>
        <v>0</v>
      </c>
    </row>
    <row r="191" spans="2:13">
      <c r="B191" s="137">
        <f t="shared" si="127"/>
        <v>176</v>
      </c>
      <c r="C191" s="142">
        <f t="shared" si="113"/>
        <v>5354</v>
      </c>
      <c r="D191" s="148">
        <f t="shared" si="116"/>
        <v>0</v>
      </c>
      <c r="E191" s="148">
        <f t="shared" si="121"/>
        <v>0</v>
      </c>
      <c r="F191" s="148">
        <f t="shared" si="119"/>
        <v>0</v>
      </c>
      <c r="G191" s="148">
        <f t="shared" si="128"/>
        <v>0</v>
      </c>
      <c r="H191" s="148"/>
      <c r="I191" s="148">
        <f t="shared" si="117"/>
        <v>0</v>
      </c>
      <c r="J191" s="148">
        <f t="shared" si="128"/>
        <v>0</v>
      </c>
      <c r="K191" s="148"/>
      <c r="L191" s="149">
        <f t="shared" si="122"/>
        <v>0</v>
      </c>
      <c r="M191" s="149">
        <f t="shared" si="120"/>
        <v>0</v>
      </c>
    </row>
    <row r="192" spans="2:13">
      <c r="B192" s="137">
        <f t="shared" si="127"/>
        <v>177</v>
      </c>
      <c r="C192" s="142">
        <f t="shared" ref="C192:C255" si="129">EDATE(C191,1)</f>
        <v>5385</v>
      </c>
      <c r="D192" s="148">
        <f t="shared" si="116"/>
        <v>0</v>
      </c>
      <c r="E192" s="148">
        <f t="shared" si="121"/>
        <v>0</v>
      </c>
      <c r="F192" s="148">
        <f t="shared" si="119"/>
        <v>0</v>
      </c>
      <c r="G192" s="148">
        <f t="shared" si="128"/>
        <v>0</v>
      </c>
      <c r="H192" s="148"/>
      <c r="I192" s="148">
        <f t="shared" si="117"/>
        <v>0</v>
      </c>
      <c r="J192" s="148">
        <f t="shared" si="128"/>
        <v>0</v>
      </c>
      <c r="K192" s="148"/>
      <c r="L192" s="149">
        <f t="shared" si="122"/>
        <v>0</v>
      </c>
      <c r="M192" s="149">
        <f t="shared" si="120"/>
        <v>0</v>
      </c>
    </row>
    <row r="193" spans="2:13">
      <c r="B193" s="137">
        <f t="shared" ref="B193:B208" si="130">B192+1</f>
        <v>178</v>
      </c>
      <c r="C193" s="142">
        <f t="shared" si="129"/>
        <v>5415</v>
      </c>
      <c r="D193" s="148">
        <f t="shared" si="116"/>
        <v>0</v>
      </c>
      <c r="E193" s="148">
        <f t="shared" si="121"/>
        <v>0</v>
      </c>
      <c r="F193" s="148">
        <f t="shared" si="119"/>
        <v>0</v>
      </c>
      <c r="G193" s="148">
        <f t="shared" si="128"/>
        <v>0</v>
      </c>
      <c r="H193" s="148"/>
      <c r="I193" s="148">
        <f t="shared" si="117"/>
        <v>0</v>
      </c>
      <c r="J193" s="148">
        <f t="shared" si="128"/>
        <v>0</v>
      </c>
      <c r="K193" s="148"/>
      <c r="L193" s="149">
        <f t="shared" si="122"/>
        <v>0</v>
      </c>
      <c r="M193" s="149">
        <f t="shared" si="120"/>
        <v>0</v>
      </c>
    </row>
    <row r="194" spans="2:13">
      <c r="B194" s="137">
        <f t="shared" si="130"/>
        <v>179</v>
      </c>
      <c r="C194" s="142">
        <f t="shared" si="129"/>
        <v>5446</v>
      </c>
      <c r="D194" s="148">
        <f t="shared" si="116"/>
        <v>0</v>
      </c>
      <c r="E194" s="148">
        <f t="shared" si="121"/>
        <v>0</v>
      </c>
      <c r="F194" s="148">
        <f t="shared" si="119"/>
        <v>0</v>
      </c>
      <c r="G194" s="148">
        <f t="shared" si="128"/>
        <v>0</v>
      </c>
      <c r="H194" s="148"/>
      <c r="I194" s="148">
        <f t="shared" si="117"/>
        <v>0</v>
      </c>
      <c r="J194" s="148">
        <f t="shared" si="128"/>
        <v>0</v>
      </c>
      <c r="K194" s="148"/>
      <c r="L194" s="149">
        <f t="shared" si="122"/>
        <v>0</v>
      </c>
      <c r="M194" s="149">
        <f t="shared" si="120"/>
        <v>0</v>
      </c>
    </row>
    <row r="195" spans="2:13">
      <c r="B195" s="137">
        <f t="shared" si="130"/>
        <v>180</v>
      </c>
      <c r="C195" s="142">
        <f t="shared" si="129"/>
        <v>5476</v>
      </c>
      <c r="D195" s="148">
        <f t="shared" si="116"/>
        <v>0</v>
      </c>
      <c r="E195" s="148">
        <f t="shared" si="121"/>
        <v>0</v>
      </c>
      <c r="F195" s="148">
        <f t="shared" si="119"/>
        <v>0</v>
      </c>
      <c r="G195" s="148">
        <f t="shared" si="128"/>
        <v>0</v>
      </c>
      <c r="H195" s="148"/>
      <c r="I195" s="148">
        <f t="shared" si="117"/>
        <v>0</v>
      </c>
      <c r="J195" s="148">
        <f t="shared" si="128"/>
        <v>0</v>
      </c>
      <c r="K195" s="148"/>
      <c r="L195" s="149">
        <f t="shared" si="122"/>
        <v>0</v>
      </c>
      <c r="M195" s="149">
        <f t="shared" si="120"/>
        <v>0</v>
      </c>
    </row>
    <row r="196" spans="2:13">
      <c r="B196" s="137">
        <f t="shared" si="130"/>
        <v>181</v>
      </c>
      <c r="C196" s="142">
        <f t="shared" si="129"/>
        <v>5507</v>
      </c>
      <c r="D196" s="148">
        <f t="shared" si="116"/>
        <v>0</v>
      </c>
      <c r="E196" s="148">
        <f t="shared" si="121"/>
        <v>0</v>
      </c>
      <c r="F196" s="148">
        <f t="shared" si="119"/>
        <v>0</v>
      </c>
      <c r="G196" s="148">
        <f>ROUND(M195*$K$7*YEARFRAC(C195,C196),2)</f>
        <v>0</v>
      </c>
      <c r="H196" s="148"/>
      <c r="I196" s="148">
        <f t="shared" si="117"/>
        <v>0</v>
      </c>
      <c r="J196" s="148">
        <f>ROUND(M207*$K$8*YEARFRAC(C195,C196),2)</f>
        <v>0</v>
      </c>
      <c r="K196" s="148"/>
      <c r="L196" s="149">
        <f t="shared" si="122"/>
        <v>0</v>
      </c>
      <c r="M196" s="149">
        <f t="shared" si="120"/>
        <v>0</v>
      </c>
    </row>
    <row r="197" spans="2:13">
      <c r="B197" s="137">
        <f t="shared" si="130"/>
        <v>182</v>
      </c>
      <c r="C197" s="142">
        <f t="shared" si="129"/>
        <v>5538</v>
      </c>
      <c r="D197" s="148">
        <f t="shared" si="116"/>
        <v>0</v>
      </c>
      <c r="E197" s="148">
        <f t="shared" si="121"/>
        <v>0</v>
      </c>
      <c r="F197" s="148">
        <f t="shared" si="119"/>
        <v>0</v>
      </c>
      <c r="G197" s="148">
        <f>G196</f>
        <v>0</v>
      </c>
      <c r="H197" s="148"/>
      <c r="I197" s="148">
        <f t="shared" si="117"/>
        <v>0</v>
      </c>
      <c r="J197" s="148">
        <f>J196</f>
        <v>0</v>
      </c>
      <c r="K197" s="148"/>
      <c r="L197" s="149">
        <f t="shared" si="122"/>
        <v>0</v>
      </c>
      <c r="M197" s="149">
        <f t="shared" si="120"/>
        <v>0</v>
      </c>
    </row>
    <row r="198" spans="2:13">
      <c r="B198" s="137">
        <f t="shared" si="130"/>
        <v>183</v>
      </c>
      <c r="C198" s="142">
        <f t="shared" si="129"/>
        <v>5566</v>
      </c>
      <c r="D198" s="148">
        <f t="shared" si="116"/>
        <v>0</v>
      </c>
      <c r="E198" s="148">
        <f t="shared" si="121"/>
        <v>0</v>
      </c>
      <c r="F198" s="148">
        <f t="shared" si="119"/>
        <v>0</v>
      </c>
      <c r="G198" s="148">
        <f t="shared" ref="G198:J207" si="131">G197</f>
        <v>0</v>
      </c>
      <c r="H198" s="148"/>
      <c r="I198" s="148">
        <f t="shared" si="117"/>
        <v>0</v>
      </c>
      <c r="J198" s="148">
        <f t="shared" si="131"/>
        <v>0</v>
      </c>
      <c r="K198" s="148"/>
      <c r="L198" s="149">
        <f t="shared" si="122"/>
        <v>0</v>
      </c>
      <c r="M198" s="149">
        <f t="shared" si="120"/>
        <v>0</v>
      </c>
    </row>
    <row r="199" spans="2:13">
      <c r="B199" s="137">
        <f t="shared" si="130"/>
        <v>184</v>
      </c>
      <c r="C199" s="142">
        <f t="shared" si="129"/>
        <v>5597</v>
      </c>
      <c r="D199" s="148">
        <f t="shared" si="116"/>
        <v>0</v>
      </c>
      <c r="E199" s="148">
        <f t="shared" si="121"/>
        <v>0</v>
      </c>
      <c r="F199" s="148">
        <f t="shared" si="119"/>
        <v>0</v>
      </c>
      <c r="G199" s="148">
        <f t="shared" si="131"/>
        <v>0</v>
      </c>
      <c r="H199" s="148"/>
      <c r="I199" s="148">
        <f t="shared" si="117"/>
        <v>0</v>
      </c>
      <c r="J199" s="148">
        <f t="shared" si="131"/>
        <v>0</v>
      </c>
      <c r="K199" s="148"/>
      <c r="L199" s="149">
        <f t="shared" si="122"/>
        <v>0</v>
      </c>
      <c r="M199" s="149">
        <f t="shared" si="120"/>
        <v>0</v>
      </c>
    </row>
    <row r="200" spans="2:13">
      <c r="B200" s="137">
        <f t="shared" si="130"/>
        <v>185</v>
      </c>
      <c r="C200" s="142">
        <f t="shared" si="129"/>
        <v>5627</v>
      </c>
      <c r="D200" s="148">
        <f t="shared" si="116"/>
        <v>0</v>
      </c>
      <c r="E200" s="148">
        <f t="shared" si="121"/>
        <v>0</v>
      </c>
      <c r="F200" s="148">
        <f t="shared" si="119"/>
        <v>0</v>
      </c>
      <c r="G200" s="148">
        <f t="shared" si="131"/>
        <v>0</v>
      </c>
      <c r="H200" s="148"/>
      <c r="I200" s="148">
        <f t="shared" si="117"/>
        <v>0</v>
      </c>
      <c r="J200" s="148">
        <f t="shared" si="131"/>
        <v>0</v>
      </c>
      <c r="K200" s="148"/>
      <c r="L200" s="149">
        <f t="shared" si="122"/>
        <v>0</v>
      </c>
      <c r="M200" s="149">
        <f t="shared" si="120"/>
        <v>0</v>
      </c>
    </row>
    <row r="201" spans="2:13">
      <c r="B201" s="137">
        <f t="shared" si="130"/>
        <v>186</v>
      </c>
      <c r="C201" s="142">
        <f t="shared" si="129"/>
        <v>5658</v>
      </c>
      <c r="D201" s="148">
        <f t="shared" si="116"/>
        <v>0</v>
      </c>
      <c r="E201" s="148">
        <f t="shared" si="121"/>
        <v>0</v>
      </c>
      <c r="F201" s="148">
        <f t="shared" si="119"/>
        <v>0</v>
      </c>
      <c r="G201" s="148">
        <f t="shared" si="131"/>
        <v>0</v>
      </c>
      <c r="H201" s="148"/>
      <c r="I201" s="148">
        <f t="shared" si="117"/>
        <v>0</v>
      </c>
      <c r="J201" s="148">
        <f t="shared" si="131"/>
        <v>0</v>
      </c>
      <c r="K201" s="148"/>
      <c r="L201" s="149">
        <f t="shared" si="122"/>
        <v>0</v>
      </c>
      <c r="M201" s="149">
        <f t="shared" si="120"/>
        <v>0</v>
      </c>
    </row>
    <row r="202" spans="2:13">
      <c r="B202" s="137">
        <f t="shared" si="130"/>
        <v>187</v>
      </c>
      <c r="C202" s="142">
        <f t="shared" si="129"/>
        <v>5688</v>
      </c>
      <c r="D202" s="148">
        <f t="shared" si="116"/>
        <v>0</v>
      </c>
      <c r="E202" s="148">
        <f t="shared" si="121"/>
        <v>0</v>
      </c>
      <c r="F202" s="148">
        <f t="shared" si="119"/>
        <v>0</v>
      </c>
      <c r="G202" s="148">
        <f t="shared" si="131"/>
        <v>0</v>
      </c>
      <c r="H202" s="148"/>
      <c r="I202" s="148">
        <f t="shared" si="117"/>
        <v>0</v>
      </c>
      <c r="J202" s="148">
        <f t="shared" si="131"/>
        <v>0</v>
      </c>
      <c r="K202" s="148"/>
      <c r="L202" s="149">
        <f t="shared" si="122"/>
        <v>0</v>
      </c>
      <c r="M202" s="149">
        <f t="shared" si="120"/>
        <v>0</v>
      </c>
    </row>
    <row r="203" spans="2:13">
      <c r="B203" s="137">
        <f t="shared" si="130"/>
        <v>188</v>
      </c>
      <c r="C203" s="142">
        <f t="shared" si="129"/>
        <v>5719</v>
      </c>
      <c r="D203" s="148">
        <f t="shared" si="116"/>
        <v>0</v>
      </c>
      <c r="E203" s="148">
        <f t="shared" si="121"/>
        <v>0</v>
      </c>
      <c r="F203" s="148">
        <f t="shared" si="119"/>
        <v>0</v>
      </c>
      <c r="G203" s="148">
        <f t="shared" si="131"/>
        <v>0</v>
      </c>
      <c r="H203" s="148"/>
      <c r="I203" s="148">
        <f t="shared" si="117"/>
        <v>0</v>
      </c>
      <c r="J203" s="148">
        <f t="shared" si="131"/>
        <v>0</v>
      </c>
      <c r="K203" s="148"/>
      <c r="L203" s="149">
        <f t="shared" si="122"/>
        <v>0</v>
      </c>
      <c r="M203" s="149">
        <f t="shared" si="120"/>
        <v>0</v>
      </c>
    </row>
    <row r="204" spans="2:13">
      <c r="B204" s="137">
        <f t="shared" si="130"/>
        <v>189</v>
      </c>
      <c r="C204" s="142">
        <f t="shared" si="129"/>
        <v>5750</v>
      </c>
      <c r="D204" s="148">
        <f t="shared" si="116"/>
        <v>0</v>
      </c>
      <c r="E204" s="148">
        <f t="shared" si="121"/>
        <v>0</v>
      </c>
      <c r="F204" s="148">
        <f t="shared" si="119"/>
        <v>0</v>
      </c>
      <c r="G204" s="148">
        <f t="shared" si="131"/>
        <v>0</v>
      </c>
      <c r="H204" s="148"/>
      <c r="I204" s="148">
        <f t="shared" si="117"/>
        <v>0</v>
      </c>
      <c r="J204" s="148">
        <f t="shared" si="131"/>
        <v>0</v>
      </c>
      <c r="K204" s="148"/>
      <c r="L204" s="149">
        <f t="shared" si="122"/>
        <v>0</v>
      </c>
      <c r="M204" s="149">
        <f t="shared" si="120"/>
        <v>0</v>
      </c>
    </row>
    <row r="205" spans="2:13">
      <c r="B205" s="137">
        <f t="shared" si="130"/>
        <v>190</v>
      </c>
      <c r="C205" s="142">
        <f t="shared" si="129"/>
        <v>5780</v>
      </c>
      <c r="D205" s="148">
        <f t="shared" si="116"/>
        <v>0</v>
      </c>
      <c r="E205" s="148">
        <f t="shared" si="121"/>
        <v>0</v>
      </c>
      <c r="F205" s="148">
        <f t="shared" si="119"/>
        <v>0</v>
      </c>
      <c r="G205" s="148">
        <f t="shared" si="131"/>
        <v>0</v>
      </c>
      <c r="H205" s="148"/>
      <c r="I205" s="148">
        <f t="shared" si="117"/>
        <v>0</v>
      </c>
      <c r="J205" s="148">
        <f t="shared" si="131"/>
        <v>0</v>
      </c>
      <c r="K205" s="148"/>
      <c r="L205" s="149">
        <f t="shared" si="122"/>
        <v>0</v>
      </c>
      <c r="M205" s="149">
        <f t="shared" si="120"/>
        <v>0</v>
      </c>
    </row>
    <row r="206" spans="2:13">
      <c r="B206" s="137">
        <f t="shared" si="130"/>
        <v>191</v>
      </c>
      <c r="C206" s="142">
        <f t="shared" si="129"/>
        <v>5811</v>
      </c>
      <c r="D206" s="148">
        <f t="shared" si="116"/>
        <v>0</v>
      </c>
      <c r="E206" s="148">
        <f t="shared" si="121"/>
        <v>0</v>
      </c>
      <c r="F206" s="148">
        <f t="shared" si="119"/>
        <v>0</v>
      </c>
      <c r="G206" s="148">
        <f t="shared" si="131"/>
        <v>0</v>
      </c>
      <c r="H206" s="148"/>
      <c r="I206" s="148">
        <f t="shared" si="117"/>
        <v>0</v>
      </c>
      <c r="J206" s="148">
        <f t="shared" si="131"/>
        <v>0</v>
      </c>
      <c r="K206" s="148"/>
      <c r="L206" s="149">
        <f t="shared" si="122"/>
        <v>0</v>
      </c>
      <c r="M206" s="149">
        <f t="shared" si="120"/>
        <v>0</v>
      </c>
    </row>
    <row r="207" spans="2:13">
      <c r="B207" s="137">
        <f t="shared" si="130"/>
        <v>192</v>
      </c>
      <c r="C207" s="142">
        <f t="shared" si="129"/>
        <v>5841</v>
      </c>
      <c r="D207" s="148">
        <f t="shared" si="116"/>
        <v>0</v>
      </c>
      <c r="E207" s="148">
        <f t="shared" si="121"/>
        <v>0</v>
      </c>
      <c r="F207" s="148">
        <f t="shared" si="119"/>
        <v>0</v>
      </c>
      <c r="G207" s="148">
        <f t="shared" si="131"/>
        <v>0</v>
      </c>
      <c r="H207" s="148"/>
      <c r="I207" s="148">
        <f t="shared" si="117"/>
        <v>0</v>
      </c>
      <c r="J207" s="148">
        <f t="shared" si="131"/>
        <v>0</v>
      </c>
      <c r="K207" s="148"/>
      <c r="L207" s="149">
        <f t="shared" si="122"/>
        <v>0</v>
      </c>
      <c r="M207" s="149">
        <f t="shared" si="120"/>
        <v>0</v>
      </c>
    </row>
    <row r="208" spans="2:13">
      <c r="B208" s="137">
        <f t="shared" si="130"/>
        <v>193</v>
      </c>
      <c r="C208" s="142">
        <f t="shared" si="129"/>
        <v>5872</v>
      </c>
      <c r="D208" s="148">
        <f t="shared" ref="D208:D271" si="132">IF(B208=($C$7*12),M207,IF(B208&gt;($C$7*12),0,PPMT($K$5/12,B208,$C$9*12,-$C$5)))</f>
        <v>0</v>
      </c>
      <c r="E208" s="148">
        <f t="shared" si="121"/>
        <v>0</v>
      </c>
      <c r="F208" s="148">
        <f t="shared" si="119"/>
        <v>0</v>
      </c>
      <c r="G208" s="148">
        <f>ROUND(M207*$K$7*YEARFRAC(C207,C208),2)</f>
        <v>0</v>
      </c>
      <c r="H208" s="148"/>
      <c r="I208" s="148">
        <f t="shared" ref="I208:I271" si="133">ROUND($K$6*(M208+2*E210+2*G210),2)/12</f>
        <v>0</v>
      </c>
      <c r="J208" s="148">
        <f>ROUND(M219*$K$8*YEARFRAC(C207,C208),2)</f>
        <v>0</v>
      </c>
      <c r="K208" s="148"/>
      <c r="L208" s="149">
        <f t="shared" si="122"/>
        <v>0</v>
      </c>
      <c r="M208" s="149">
        <f t="shared" si="120"/>
        <v>0</v>
      </c>
    </row>
    <row r="209" spans="2:13">
      <c r="B209" s="137">
        <f t="shared" ref="B209:B224" si="134">B208+1</f>
        <v>194</v>
      </c>
      <c r="C209" s="142">
        <f t="shared" si="129"/>
        <v>5903</v>
      </c>
      <c r="D209" s="148">
        <f t="shared" si="132"/>
        <v>0</v>
      </c>
      <c r="E209" s="148">
        <f t="shared" si="121"/>
        <v>0</v>
      </c>
      <c r="F209" s="148">
        <f t="shared" ref="F209:F272" si="135">SUM(D209:E209)</f>
        <v>0</v>
      </c>
      <c r="G209" s="148">
        <f>G208</f>
        <v>0</v>
      </c>
      <c r="H209" s="148"/>
      <c r="I209" s="148">
        <f t="shared" si="133"/>
        <v>0</v>
      </c>
      <c r="J209" s="148">
        <f>J208</f>
        <v>0</v>
      </c>
      <c r="K209" s="148"/>
      <c r="L209" s="149">
        <f t="shared" si="122"/>
        <v>0</v>
      </c>
      <c r="M209" s="149">
        <f t="shared" ref="M209:M272" si="136">+M208-D209</f>
        <v>0</v>
      </c>
    </row>
    <row r="210" spans="2:13">
      <c r="B210" s="137">
        <f t="shared" si="134"/>
        <v>195</v>
      </c>
      <c r="C210" s="142">
        <f t="shared" si="129"/>
        <v>5932</v>
      </c>
      <c r="D210" s="148">
        <f t="shared" si="132"/>
        <v>0</v>
      </c>
      <c r="E210" s="148">
        <f t="shared" ref="E210:E273" si="137">($K$5)/12*M209</f>
        <v>0</v>
      </c>
      <c r="F210" s="148">
        <f t="shared" si="135"/>
        <v>0</v>
      </c>
      <c r="G210" s="148">
        <f t="shared" ref="G210:J219" si="138">G209</f>
        <v>0</v>
      </c>
      <c r="H210" s="148"/>
      <c r="I210" s="148">
        <f t="shared" si="133"/>
        <v>0</v>
      </c>
      <c r="J210" s="148">
        <f t="shared" si="138"/>
        <v>0</v>
      </c>
      <c r="K210" s="148"/>
      <c r="L210" s="149">
        <f t="shared" ref="L210:L273" si="139">SUM(F210:J210)</f>
        <v>0</v>
      </c>
      <c r="M210" s="149">
        <f t="shared" si="136"/>
        <v>0</v>
      </c>
    </row>
    <row r="211" spans="2:13">
      <c r="B211" s="137">
        <f t="shared" si="134"/>
        <v>196</v>
      </c>
      <c r="C211" s="142">
        <f t="shared" si="129"/>
        <v>5963</v>
      </c>
      <c r="D211" s="148">
        <f t="shared" si="132"/>
        <v>0</v>
      </c>
      <c r="E211" s="148">
        <f t="shared" si="137"/>
        <v>0</v>
      </c>
      <c r="F211" s="148">
        <f t="shared" si="135"/>
        <v>0</v>
      </c>
      <c r="G211" s="148">
        <f t="shared" si="138"/>
        <v>0</v>
      </c>
      <c r="H211" s="148"/>
      <c r="I211" s="148">
        <f t="shared" si="133"/>
        <v>0</v>
      </c>
      <c r="J211" s="148">
        <f t="shared" si="138"/>
        <v>0</v>
      </c>
      <c r="K211" s="148"/>
      <c r="L211" s="149">
        <f t="shared" si="139"/>
        <v>0</v>
      </c>
      <c r="M211" s="149">
        <f t="shared" si="136"/>
        <v>0</v>
      </c>
    </row>
    <row r="212" spans="2:13">
      <c r="B212" s="137">
        <f t="shared" si="134"/>
        <v>197</v>
      </c>
      <c r="C212" s="142">
        <f t="shared" si="129"/>
        <v>5993</v>
      </c>
      <c r="D212" s="148">
        <f t="shared" si="132"/>
        <v>0</v>
      </c>
      <c r="E212" s="148">
        <f t="shared" si="137"/>
        <v>0</v>
      </c>
      <c r="F212" s="148">
        <f t="shared" si="135"/>
        <v>0</v>
      </c>
      <c r="G212" s="148">
        <f t="shared" si="138"/>
        <v>0</v>
      </c>
      <c r="H212" s="148"/>
      <c r="I212" s="148">
        <f t="shared" si="133"/>
        <v>0</v>
      </c>
      <c r="J212" s="148">
        <f t="shared" si="138"/>
        <v>0</v>
      </c>
      <c r="K212" s="148"/>
      <c r="L212" s="149">
        <f t="shared" si="139"/>
        <v>0</v>
      </c>
      <c r="M212" s="149">
        <f t="shared" si="136"/>
        <v>0</v>
      </c>
    </row>
    <row r="213" spans="2:13">
      <c r="B213" s="137">
        <f t="shared" si="134"/>
        <v>198</v>
      </c>
      <c r="C213" s="142">
        <f t="shared" si="129"/>
        <v>6024</v>
      </c>
      <c r="D213" s="148">
        <f t="shared" si="132"/>
        <v>0</v>
      </c>
      <c r="E213" s="148">
        <f t="shared" si="137"/>
        <v>0</v>
      </c>
      <c r="F213" s="148">
        <f t="shared" si="135"/>
        <v>0</v>
      </c>
      <c r="G213" s="148">
        <f t="shared" si="138"/>
        <v>0</v>
      </c>
      <c r="H213" s="148"/>
      <c r="I213" s="148">
        <f t="shared" si="133"/>
        <v>0</v>
      </c>
      <c r="J213" s="148">
        <f t="shared" si="138"/>
        <v>0</v>
      </c>
      <c r="K213" s="148"/>
      <c r="L213" s="149">
        <f t="shared" si="139"/>
        <v>0</v>
      </c>
      <c r="M213" s="149">
        <f t="shared" si="136"/>
        <v>0</v>
      </c>
    </row>
    <row r="214" spans="2:13">
      <c r="B214" s="137">
        <f t="shared" si="134"/>
        <v>199</v>
      </c>
      <c r="C214" s="142">
        <f t="shared" si="129"/>
        <v>6054</v>
      </c>
      <c r="D214" s="148">
        <f t="shared" si="132"/>
        <v>0</v>
      </c>
      <c r="E214" s="148">
        <f t="shared" si="137"/>
        <v>0</v>
      </c>
      <c r="F214" s="148">
        <f t="shared" si="135"/>
        <v>0</v>
      </c>
      <c r="G214" s="148">
        <f t="shared" si="138"/>
        <v>0</v>
      </c>
      <c r="H214" s="148"/>
      <c r="I214" s="148">
        <f t="shared" si="133"/>
        <v>0</v>
      </c>
      <c r="J214" s="148">
        <f t="shared" si="138"/>
        <v>0</v>
      </c>
      <c r="K214" s="148"/>
      <c r="L214" s="149">
        <f t="shared" si="139"/>
        <v>0</v>
      </c>
      <c r="M214" s="149">
        <f t="shared" si="136"/>
        <v>0</v>
      </c>
    </row>
    <row r="215" spans="2:13">
      <c r="B215" s="137">
        <f t="shared" si="134"/>
        <v>200</v>
      </c>
      <c r="C215" s="142">
        <f t="shared" si="129"/>
        <v>6085</v>
      </c>
      <c r="D215" s="148">
        <f t="shared" si="132"/>
        <v>0</v>
      </c>
      <c r="E215" s="148">
        <f t="shared" si="137"/>
        <v>0</v>
      </c>
      <c r="F215" s="148">
        <f t="shared" si="135"/>
        <v>0</v>
      </c>
      <c r="G215" s="148">
        <f t="shared" si="138"/>
        <v>0</v>
      </c>
      <c r="H215" s="148"/>
      <c r="I215" s="148">
        <f t="shared" si="133"/>
        <v>0</v>
      </c>
      <c r="J215" s="148">
        <f t="shared" si="138"/>
        <v>0</v>
      </c>
      <c r="K215" s="148"/>
      <c r="L215" s="149">
        <f t="shared" si="139"/>
        <v>0</v>
      </c>
      <c r="M215" s="149">
        <f t="shared" si="136"/>
        <v>0</v>
      </c>
    </row>
    <row r="216" spans="2:13">
      <c r="B216" s="137">
        <f t="shared" si="134"/>
        <v>201</v>
      </c>
      <c r="C216" s="142">
        <f t="shared" si="129"/>
        <v>6116</v>
      </c>
      <c r="D216" s="148">
        <f t="shared" si="132"/>
        <v>0</v>
      </c>
      <c r="E216" s="148">
        <f t="shared" si="137"/>
        <v>0</v>
      </c>
      <c r="F216" s="148">
        <f t="shared" si="135"/>
        <v>0</v>
      </c>
      <c r="G216" s="148">
        <f t="shared" si="138"/>
        <v>0</v>
      </c>
      <c r="H216" s="148"/>
      <c r="I216" s="148">
        <f t="shared" si="133"/>
        <v>0</v>
      </c>
      <c r="J216" s="148">
        <f t="shared" si="138"/>
        <v>0</v>
      </c>
      <c r="K216" s="148"/>
      <c r="L216" s="149">
        <f t="shared" si="139"/>
        <v>0</v>
      </c>
      <c r="M216" s="149">
        <f t="shared" si="136"/>
        <v>0</v>
      </c>
    </row>
    <row r="217" spans="2:13">
      <c r="B217" s="137">
        <f t="shared" si="134"/>
        <v>202</v>
      </c>
      <c r="C217" s="142">
        <f t="shared" si="129"/>
        <v>6146</v>
      </c>
      <c r="D217" s="148">
        <f t="shared" si="132"/>
        <v>0</v>
      </c>
      <c r="E217" s="148">
        <f t="shared" si="137"/>
        <v>0</v>
      </c>
      <c r="F217" s="148">
        <f t="shared" si="135"/>
        <v>0</v>
      </c>
      <c r="G217" s="148">
        <f t="shared" si="138"/>
        <v>0</v>
      </c>
      <c r="H217" s="148"/>
      <c r="I217" s="148">
        <f t="shared" si="133"/>
        <v>0</v>
      </c>
      <c r="J217" s="148">
        <f t="shared" si="138"/>
        <v>0</v>
      </c>
      <c r="K217" s="148"/>
      <c r="L217" s="149">
        <f t="shared" si="139"/>
        <v>0</v>
      </c>
      <c r="M217" s="149">
        <f t="shared" si="136"/>
        <v>0</v>
      </c>
    </row>
    <row r="218" spans="2:13">
      <c r="B218" s="137">
        <f t="shared" si="134"/>
        <v>203</v>
      </c>
      <c r="C218" s="142">
        <f t="shared" si="129"/>
        <v>6177</v>
      </c>
      <c r="D218" s="148">
        <f t="shared" si="132"/>
        <v>0</v>
      </c>
      <c r="E218" s="148">
        <f t="shared" si="137"/>
        <v>0</v>
      </c>
      <c r="F218" s="148">
        <f t="shared" si="135"/>
        <v>0</v>
      </c>
      <c r="G218" s="148">
        <f t="shared" si="138"/>
        <v>0</v>
      </c>
      <c r="H218" s="148"/>
      <c r="I218" s="148">
        <f t="shared" si="133"/>
        <v>0</v>
      </c>
      <c r="J218" s="148">
        <f t="shared" si="138"/>
        <v>0</v>
      </c>
      <c r="K218" s="148"/>
      <c r="L218" s="149">
        <f t="shared" si="139"/>
        <v>0</v>
      </c>
      <c r="M218" s="149">
        <f t="shared" si="136"/>
        <v>0</v>
      </c>
    </row>
    <row r="219" spans="2:13">
      <c r="B219" s="137">
        <f t="shared" si="134"/>
        <v>204</v>
      </c>
      <c r="C219" s="142">
        <f t="shared" si="129"/>
        <v>6207</v>
      </c>
      <c r="D219" s="148">
        <f t="shared" si="132"/>
        <v>0</v>
      </c>
      <c r="E219" s="148">
        <f t="shared" si="137"/>
        <v>0</v>
      </c>
      <c r="F219" s="148">
        <f t="shared" si="135"/>
        <v>0</v>
      </c>
      <c r="G219" s="148">
        <f t="shared" si="138"/>
        <v>0</v>
      </c>
      <c r="H219" s="148"/>
      <c r="I219" s="148">
        <f t="shared" si="133"/>
        <v>0</v>
      </c>
      <c r="J219" s="148">
        <f t="shared" si="138"/>
        <v>0</v>
      </c>
      <c r="K219" s="148"/>
      <c r="L219" s="149">
        <f t="shared" si="139"/>
        <v>0</v>
      </c>
      <c r="M219" s="149">
        <f t="shared" si="136"/>
        <v>0</v>
      </c>
    </row>
    <row r="220" spans="2:13">
      <c r="B220" s="137">
        <f t="shared" si="134"/>
        <v>205</v>
      </c>
      <c r="C220" s="142">
        <f t="shared" si="129"/>
        <v>6238</v>
      </c>
      <c r="D220" s="148">
        <f t="shared" si="132"/>
        <v>0</v>
      </c>
      <c r="E220" s="148">
        <f t="shared" si="137"/>
        <v>0</v>
      </c>
      <c r="F220" s="148">
        <f t="shared" si="135"/>
        <v>0</v>
      </c>
      <c r="G220" s="148">
        <f>ROUND(M219*$K$7*YEARFRAC(C219,C220),2)</f>
        <v>0</v>
      </c>
      <c r="H220" s="148"/>
      <c r="I220" s="148">
        <f t="shared" si="133"/>
        <v>0</v>
      </c>
      <c r="J220" s="148">
        <f>ROUND(M231*$K$8*YEARFRAC(C219,C220),2)</f>
        <v>0</v>
      </c>
      <c r="K220" s="148"/>
      <c r="L220" s="149">
        <f t="shared" si="139"/>
        <v>0</v>
      </c>
      <c r="M220" s="149">
        <f t="shared" si="136"/>
        <v>0</v>
      </c>
    </row>
    <row r="221" spans="2:13">
      <c r="B221" s="137">
        <f t="shared" si="134"/>
        <v>206</v>
      </c>
      <c r="C221" s="142">
        <f t="shared" si="129"/>
        <v>6269</v>
      </c>
      <c r="D221" s="148">
        <f t="shared" si="132"/>
        <v>0</v>
      </c>
      <c r="E221" s="148">
        <f t="shared" si="137"/>
        <v>0</v>
      </c>
      <c r="F221" s="148">
        <f t="shared" si="135"/>
        <v>0</v>
      </c>
      <c r="G221" s="148">
        <f>G220</f>
        <v>0</v>
      </c>
      <c r="H221" s="148"/>
      <c r="I221" s="148">
        <f t="shared" si="133"/>
        <v>0</v>
      </c>
      <c r="J221" s="148">
        <f>J220</f>
        <v>0</v>
      </c>
      <c r="K221" s="148"/>
      <c r="L221" s="149">
        <f t="shared" si="139"/>
        <v>0</v>
      </c>
      <c r="M221" s="149">
        <f t="shared" si="136"/>
        <v>0</v>
      </c>
    </row>
    <row r="222" spans="2:13">
      <c r="B222" s="137">
        <f t="shared" si="134"/>
        <v>207</v>
      </c>
      <c r="C222" s="142">
        <f t="shared" si="129"/>
        <v>6297</v>
      </c>
      <c r="D222" s="148">
        <f t="shared" si="132"/>
        <v>0</v>
      </c>
      <c r="E222" s="148">
        <f t="shared" si="137"/>
        <v>0</v>
      </c>
      <c r="F222" s="148">
        <f t="shared" si="135"/>
        <v>0</v>
      </c>
      <c r="G222" s="148">
        <f t="shared" ref="G222:J231" si="140">G221</f>
        <v>0</v>
      </c>
      <c r="H222" s="148"/>
      <c r="I222" s="148">
        <f t="shared" si="133"/>
        <v>0</v>
      </c>
      <c r="J222" s="148">
        <f t="shared" si="140"/>
        <v>0</v>
      </c>
      <c r="K222" s="148"/>
      <c r="L222" s="149">
        <f t="shared" si="139"/>
        <v>0</v>
      </c>
      <c r="M222" s="149">
        <f t="shared" si="136"/>
        <v>0</v>
      </c>
    </row>
    <row r="223" spans="2:13">
      <c r="B223" s="137">
        <f t="shared" si="134"/>
        <v>208</v>
      </c>
      <c r="C223" s="142">
        <f t="shared" si="129"/>
        <v>6328</v>
      </c>
      <c r="D223" s="148">
        <f t="shared" si="132"/>
        <v>0</v>
      </c>
      <c r="E223" s="148">
        <f t="shared" si="137"/>
        <v>0</v>
      </c>
      <c r="F223" s="148">
        <f t="shared" si="135"/>
        <v>0</v>
      </c>
      <c r="G223" s="148">
        <f t="shared" si="140"/>
        <v>0</v>
      </c>
      <c r="H223" s="148"/>
      <c r="I223" s="148">
        <f t="shared" si="133"/>
        <v>0</v>
      </c>
      <c r="J223" s="148">
        <f t="shared" si="140"/>
        <v>0</v>
      </c>
      <c r="K223" s="148"/>
      <c r="L223" s="149">
        <f t="shared" si="139"/>
        <v>0</v>
      </c>
      <c r="M223" s="149">
        <f t="shared" si="136"/>
        <v>0</v>
      </c>
    </row>
    <row r="224" spans="2:13">
      <c r="B224" s="137">
        <f t="shared" si="134"/>
        <v>209</v>
      </c>
      <c r="C224" s="142">
        <f t="shared" si="129"/>
        <v>6358</v>
      </c>
      <c r="D224" s="148">
        <f t="shared" si="132"/>
        <v>0</v>
      </c>
      <c r="E224" s="148">
        <f t="shared" si="137"/>
        <v>0</v>
      </c>
      <c r="F224" s="148">
        <f t="shared" si="135"/>
        <v>0</v>
      </c>
      <c r="G224" s="148">
        <f t="shared" si="140"/>
        <v>0</v>
      </c>
      <c r="H224" s="148"/>
      <c r="I224" s="148">
        <f t="shared" si="133"/>
        <v>0</v>
      </c>
      <c r="J224" s="148">
        <f t="shared" si="140"/>
        <v>0</v>
      </c>
      <c r="K224" s="148"/>
      <c r="L224" s="149">
        <f t="shared" si="139"/>
        <v>0</v>
      </c>
      <c r="M224" s="149">
        <f t="shared" si="136"/>
        <v>0</v>
      </c>
    </row>
    <row r="225" spans="2:13">
      <c r="B225" s="137">
        <f t="shared" ref="B225:B240" si="141">B224+1</f>
        <v>210</v>
      </c>
      <c r="C225" s="142">
        <f t="shared" si="129"/>
        <v>6389</v>
      </c>
      <c r="D225" s="148">
        <f t="shared" si="132"/>
        <v>0</v>
      </c>
      <c r="E225" s="148">
        <f t="shared" si="137"/>
        <v>0</v>
      </c>
      <c r="F225" s="148">
        <f t="shared" si="135"/>
        <v>0</v>
      </c>
      <c r="G225" s="148">
        <f t="shared" si="140"/>
        <v>0</v>
      </c>
      <c r="H225" s="148"/>
      <c r="I225" s="148">
        <f t="shared" si="133"/>
        <v>0</v>
      </c>
      <c r="J225" s="148">
        <f t="shared" si="140"/>
        <v>0</v>
      </c>
      <c r="K225" s="148"/>
      <c r="L225" s="149">
        <f t="shared" si="139"/>
        <v>0</v>
      </c>
      <c r="M225" s="149">
        <f t="shared" si="136"/>
        <v>0</v>
      </c>
    </row>
    <row r="226" spans="2:13">
      <c r="B226" s="137">
        <f t="shared" si="141"/>
        <v>211</v>
      </c>
      <c r="C226" s="142">
        <f t="shared" si="129"/>
        <v>6419</v>
      </c>
      <c r="D226" s="148">
        <f t="shared" si="132"/>
        <v>0</v>
      </c>
      <c r="E226" s="148">
        <f t="shared" si="137"/>
        <v>0</v>
      </c>
      <c r="F226" s="148">
        <f t="shared" si="135"/>
        <v>0</v>
      </c>
      <c r="G226" s="148">
        <f t="shared" si="140"/>
        <v>0</v>
      </c>
      <c r="H226" s="148"/>
      <c r="I226" s="148">
        <f t="shared" si="133"/>
        <v>0</v>
      </c>
      <c r="J226" s="148">
        <f t="shared" si="140"/>
        <v>0</v>
      </c>
      <c r="K226" s="148"/>
      <c r="L226" s="149">
        <f t="shared" si="139"/>
        <v>0</v>
      </c>
      <c r="M226" s="149">
        <f t="shared" si="136"/>
        <v>0</v>
      </c>
    </row>
    <row r="227" spans="2:13">
      <c r="B227" s="137">
        <f t="shared" si="141"/>
        <v>212</v>
      </c>
      <c r="C227" s="142">
        <f t="shared" si="129"/>
        <v>6450</v>
      </c>
      <c r="D227" s="148">
        <f t="shared" si="132"/>
        <v>0</v>
      </c>
      <c r="E227" s="148">
        <f t="shared" si="137"/>
        <v>0</v>
      </c>
      <c r="F227" s="148">
        <f t="shared" si="135"/>
        <v>0</v>
      </c>
      <c r="G227" s="148">
        <f t="shared" si="140"/>
        <v>0</v>
      </c>
      <c r="H227" s="148"/>
      <c r="I227" s="148">
        <f t="shared" si="133"/>
        <v>0</v>
      </c>
      <c r="J227" s="148">
        <f t="shared" si="140"/>
        <v>0</v>
      </c>
      <c r="K227" s="148"/>
      <c r="L227" s="149">
        <f t="shared" si="139"/>
        <v>0</v>
      </c>
      <c r="M227" s="149">
        <f t="shared" si="136"/>
        <v>0</v>
      </c>
    </row>
    <row r="228" spans="2:13">
      <c r="B228" s="137">
        <f t="shared" si="141"/>
        <v>213</v>
      </c>
      <c r="C228" s="142">
        <f t="shared" si="129"/>
        <v>6481</v>
      </c>
      <c r="D228" s="148">
        <f t="shared" si="132"/>
        <v>0</v>
      </c>
      <c r="E228" s="148">
        <f t="shared" si="137"/>
        <v>0</v>
      </c>
      <c r="F228" s="148">
        <f t="shared" si="135"/>
        <v>0</v>
      </c>
      <c r="G228" s="148">
        <f t="shared" si="140"/>
        <v>0</v>
      </c>
      <c r="H228" s="148"/>
      <c r="I228" s="148">
        <f t="shared" si="133"/>
        <v>0</v>
      </c>
      <c r="J228" s="148">
        <f t="shared" si="140"/>
        <v>0</v>
      </c>
      <c r="K228" s="148"/>
      <c r="L228" s="149">
        <f t="shared" si="139"/>
        <v>0</v>
      </c>
      <c r="M228" s="149">
        <f t="shared" si="136"/>
        <v>0</v>
      </c>
    </row>
    <row r="229" spans="2:13">
      <c r="B229" s="137">
        <f t="shared" si="141"/>
        <v>214</v>
      </c>
      <c r="C229" s="142">
        <f t="shared" si="129"/>
        <v>6511</v>
      </c>
      <c r="D229" s="148">
        <f t="shared" si="132"/>
        <v>0</v>
      </c>
      <c r="E229" s="148">
        <f t="shared" si="137"/>
        <v>0</v>
      </c>
      <c r="F229" s="148">
        <f t="shared" si="135"/>
        <v>0</v>
      </c>
      <c r="G229" s="148">
        <f t="shared" si="140"/>
        <v>0</v>
      </c>
      <c r="H229" s="148"/>
      <c r="I229" s="148">
        <f t="shared" si="133"/>
        <v>0</v>
      </c>
      <c r="J229" s="148">
        <f t="shared" si="140"/>
        <v>0</v>
      </c>
      <c r="K229" s="148"/>
      <c r="L229" s="149">
        <f t="shared" si="139"/>
        <v>0</v>
      </c>
      <c r="M229" s="149">
        <f t="shared" si="136"/>
        <v>0</v>
      </c>
    </row>
    <row r="230" spans="2:13">
      <c r="B230" s="137">
        <f t="shared" si="141"/>
        <v>215</v>
      </c>
      <c r="C230" s="142">
        <f t="shared" si="129"/>
        <v>6542</v>
      </c>
      <c r="D230" s="148">
        <f t="shared" si="132"/>
        <v>0</v>
      </c>
      <c r="E230" s="148">
        <f t="shared" si="137"/>
        <v>0</v>
      </c>
      <c r="F230" s="148">
        <f t="shared" si="135"/>
        <v>0</v>
      </c>
      <c r="G230" s="148">
        <f t="shared" si="140"/>
        <v>0</v>
      </c>
      <c r="H230" s="148"/>
      <c r="I230" s="148">
        <f t="shared" si="133"/>
        <v>0</v>
      </c>
      <c r="J230" s="148">
        <f t="shared" si="140"/>
        <v>0</v>
      </c>
      <c r="K230" s="148"/>
      <c r="L230" s="149">
        <f t="shared" si="139"/>
        <v>0</v>
      </c>
      <c r="M230" s="149">
        <f t="shared" si="136"/>
        <v>0</v>
      </c>
    </row>
    <row r="231" spans="2:13">
      <c r="B231" s="137">
        <f t="shared" si="141"/>
        <v>216</v>
      </c>
      <c r="C231" s="142">
        <f t="shared" si="129"/>
        <v>6572</v>
      </c>
      <c r="D231" s="148">
        <f t="shared" si="132"/>
        <v>0</v>
      </c>
      <c r="E231" s="148">
        <f t="shared" si="137"/>
        <v>0</v>
      </c>
      <c r="F231" s="148">
        <f t="shared" si="135"/>
        <v>0</v>
      </c>
      <c r="G231" s="148">
        <f t="shared" si="140"/>
        <v>0</v>
      </c>
      <c r="H231" s="148"/>
      <c r="I231" s="148">
        <f t="shared" si="133"/>
        <v>0</v>
      </c>
      <c r="J231" s="148">
        <f t="shared" si="140"/>
        <v>0</v>
      </c>
      <c r="K231" s="148"/>
      <c r="L231" s="149">
        <f t="shared" si="139"/>
        <v>0</v>
      </c>
      <c r="M231" s="149">
        <f t="shared" si="136"/>
        <v>0</v>
      </c>
    </row>
    <row r="232" spans="2:13">
      <c r="B232" s="137">
        <f t="shared" si="141"/>
        <v>217</v>
      </c>
      <c r="C232" s="142">
        <f t="shared" si="129"/>
        <v>6603</v>
      </c>
      <c r="D232" s="148">
        <f t="shared" si="132"/>
        <v>0</v>
      </c>
      <c r="E232" s="148">
        <f t="shared" si="137"/>
        <v>0</v>
      </c>
      <c r="F232" s="148">
        <f t="shared" si="135"/>
        <v>0</v>
      </c>
      <c r="G232" s="148">
        <f>ROUND(M231*$K$7*YEARFRAC(C231,C232),2)</f>
        <v>0</v>
      </c>
      <c r="H232" s="148"/>
      <c r="I232" s="148">
        <f t="shared" si="133"/>
        <v>0</v>
      </c>
      <c r="J232" s="148">
        <f>ROUND(M243*$K$8*YEARFRAC(C231,C232),2)</f>
        <v>0</v>
      </c>
      <c r="K232" s="148"/>
      <c r="L232" s="149">
        <f t="shared" si="139"/>
        <v>0</v>
      </c>
      <c r="M232" s="149">
        <f t="shared" si="136"/>
        <v>0</v>
      </c>
    </row>
    <row r="233" spans="2:13">
      <c r="B233" s="137">
        <f t="shared" si="141"/>
        <v>218</v>
      </c>
      <c r="C233" s="142">
        <f t="shared" si="129"/>
        <v>6634</v>
      </c>
      <c r="D233" s="148">
        <f t="shared" si="132"/>
        <v>0</v>
      </c>
      <c r="E233" s="148">
        <f t="shared" si="137"/>
        <v>0</v>
      </c>
      <c r="F233" s="148">
        <f t="shared" si="135"/>
        <v>0</v>
      </c>
      <c r="G233" s="148">
        <f>G232</f>
        <v>0</v>
      </c>
      <c r="H233" s="148"/>
      <c r="I233" s="148">
        <f t="shared" si="133"/>
        <v>0</v>
      </c>
      <c r="J233" s="148">
        <f>J232</f>
        <v>0</v>
      </c>
      <c r="K233" s="148"/>
      <c r="L233" s="149">
        <f t="shared" si="139"/>
        <v>0</v>
      </c>
      <c r="M233" s="149">
        <f t="shared" si="136"/>
        <v>0</v>
      </c>
    </row>
    <row r="234" spans="2:13">
      <c r="B234" s="137">
        <f t="shared" si="141"/>
        <v>219</v>
      </c>
      <c r="C234" s="142">
        <f t="shared" si="129"/>
        <v>6662</v>
      </c>
      <c r="D234" s="148">
        <f t="shared" si="132"/>
        <v>0</v>
      </c>
      <c r="E234" s="148">
        <f t="shared" si="137"/>
        <v>0</v>
      </c>
      <c r="F234" s="148">
        <f t="shared" si="135"/>
        <v>0</v>
      </c>
      <c r="G234" s="148">
        <f t="shared" ref="G234:J243" si="142">G233</f>
        <v>0</v>
      </c>
      <c r="H234" s="148"/>
      <c r="I234" s="148">
        <f t="shared" si="133"/>
        <v>0</v>
      </c>
      <c r="J234" s="148">
        <f t="shared" si="142"/>
        <v>0</v>
      </c>
      <c r="K234" s="148"/>
      <c r="L234" s="149">
        <f t="shared" si="139"/>
        <v>0</v>
      </c>
      <c r="M234" s="149">
        <f t="shared" si="136"/>
        <v>0</v>
      </c>
    </row>
    <row r="235" spans="2:13">
      <c r="B235" s="137">
        <f t="shared" si="141"/>
        <v>220</v>
      </c>
      <c r="C235" s="142">
        <f t="shared" si="129"/>
        <v>6693</v>
      </c>
      <c r="D235" s="148">
        <f t="shared" si="132"/>
        <v>0</v>
      </c>
      <c r="E235" s="148">
        <f t="shared" si="137"/>
        <v>0</v>
      </c>
      <c r="F235" s="148">
        <f t="shared" si="135"/>
        <v>0</v>
      </c>
      <c r="G235" s="148">
        <f t="shared" si="142"/>
        <v>0</v>
      </c>
      <c r="H235" s="148"/>
      <c r="I235" s="148">
        <f t="shared" si="133"/>
        <v>0</v>
      </c>
      <c r="J235" s="148">
        <f t="shared" si="142"/>
        <v>0</v>
      </c>
      <c r="K235" s="148"/>
      <c r="L235" s="149">
        <f t="shared" si="139"/>
        <v>0</v>
      </c>
      <c r="M235" s="149">
        <f t="shared" si="136"/>
        <v>0</v>
      </c>
    </row>
    <row r="236" spans="2:13">
      <c r="B236" s="137">
        <f t="shared" si="141"/>
        <v>221</v>
      </c>
      <c r="C236" s="142">
        <f t="shared" si="129"/>
        <v>6723</v>
      </c>
      <c r="D236" s="148">
        <f t="shared" si="132"/>
        <v>0</v>
      </c>
      <c r="E236" s="148">
        <f t="shared" si="137"/>
        <v>0</v>
      </c>
      <c r="F236" s="148">
        <f t="shared" si="135"/>
        <v>0</v>
      </c>
      <c r="G236" s="148">
        <f t="shared" si="142"/>
        <v>0</v>
      </c>
      <c r="H236" s="148"/>
      <c r="I236" s="148">
        <f t="shared" si="133"/>
        <v>0</v>
      </c>
      <c r="J236" s="148">
        <f t="shared" si="142"/>
        <v>0</v>
      </c>
      <c r="K236" s="148"/>
      <c r="L236" s="149">
        <f t="shared" si="139"/>
        <v>0</v>
      </c>
      <c r="M236" s="149">
        <f t="shared" si="136"/>
        <v>0</v>
      </c>
    </row>
    <row r="237" spans="2:13">
      <c r="B237" s="137">
        <f t="shared" si="141"/>
        <v>222</v>
      </c>
      <c r="C237" s="142">
        <f t="shared" si="129"/>
        <v>6754</v>
      </c>
      <c r="D237" s="148">
        <f t="shared" si="132"/>
        <v>0</v>
      </c>
      <c r="E237" s="148">
        <f t="shared" si="137"/>
        <v>0</v>
      </c>
      <c r="F237" s="148">
        <f t="shared" si="135"/>
        <v>0</v>
      </c>
      <c r="G237" s="148">
        <f t="shared" si="142"/>
        <v>0</v>
      </c>
      <c r="H237" s="148"/>
      <c r="I237" s="148">
        <f t="shared" si="133"/>
        <v>0</v>
      </c>
      <c r="J237" s="148">
        <f t="shared" si="142"/>
        <v>0</v>
      </c>
      <c r="K237" s="148"/>
      <c r="L237" s="149">
        <f t="shared" si="139"/>
        <v>0</v>
      </c>
      <c r="M237" s="149">
        <f t="shared" si="136"/>
        <v>0</v>
      </c>
    </row>
    <row r="238" spans="2:13">
      <c r="B238" s="137">
        <f t="shared" si="141"/>
        <v>223</v>
      </c>
      <c r="C238" s="142">
        <f t="shared" si="129"/>
        <v>6784</v>
      </c>
      <c r="D238" s="148">
        <f t="shared" si="132"/>
        <v>0</v>
      </c>
      <c r="E238" s="148">
        <f t="shared" si="137"/>
        <v>0</v>
      </c>
      <c r="F238" s="148">
        <f t="shared" si="135"/>
        <v>0</v>
      </c>
      <c r="G238" s="148">
        <f t="shared" si="142"/>
        <v>0</v>
      </c>
      <c r="H238" s="148"/>
      <c r="I238" s="148">
        <f t="shared" si="133"/>
        <v>0</v>
      </c>
      <c r="J238" s="148">
        <f t="shared" si="142"/>
        <v>0</v>
      </c>
      <c r="K238" s="148"/>
      <c r="L238" s="149">
        <f t="shared" si="139"/>
        <v>0</v>
      </c>
      <c r="M238" s="149">
        <f t="shared" si="136"/>
        <v>0</v>
      </c>
    </row>
    <row r="239" spans="2:13">
      <c r="B239" s="137">
        <f t="shared" si="141"/>
        <v>224</v>
      </c>
      <c r="C239" s="142">
        <f t="shared" si="129"/>
        <v>6815</v>
      </c>
      <c r="D239" s="148">
        <f t="shared" si="132"/>
        <v>0</v>
      </c>
      <c r="E239" s="148">
        <f t="shared" si="137"/>
        <v>0</v>
      </c>
      <c r="F239" s="148">
        <f t="shared" si="135"/>
        <v>0</v>
      </c>
      <c r="G239" s="148">
        <f t="shared" si="142"/>
        <v>0</v>
      </c>
      <c r="H239" s="148"/>
      <c r="I239" s="148">
        <f t="shared" si="133"/>
        <v>0</v>
      </c>
      <c r="J239" s="148">
        <f t="shared" si="142"/>
        <v>0</v>
      </c>
      <c r="K239" s="148"/>
      <c r="L239" s="149">
        <f t="shared" si="139"/>
        <v>0</v>
      </c>
      <c r="M239" s="149">
        <f t="shared" si="136"/>
        <v>0</v>
      </c>
    </row>
    <row r="240" spans="2:13">
      <c r="B240" s="137">
        <f t="shared" si="141"/>
        <v>225</v>
      </c>
      <c r="C240" s="142">
        <f t="shared" si="129"/>
        <v>6846</v>
      </c>
      <c r="D240" s="148">
        <f t="shared" si="132"/>
        <v>0</v>
      </c>
      <c r="E240" s="148">
        <f t="shared" si="137"/>
        <v>0</v>
      </c>
      <c r="F240" s="148">
        <f t="shared" si="135"/>
        <v>0</v>
      </c>
      <c r="G240" s="148">
        <f t="shared" si="142"/>
        <v>0</v>
      </c>
      <c r="H240" s="148"/>
      <c r="I240" s="148">
        <f t="shared" si="133"/>
        <v>0</v>
      </c>
      <c r="J240" s="148">
        <f t="shared" si="142"/>
        <v>0</v>
      </c>
      <c r="K240" s="148"/>
      <c r="L240" s="149">
        <f t="shared" si="139"/>
        <v>0</v>
      </c>
      <c r="M240" s="149">
        <f t="shared" si="136"/>
        <v>0</v>
      </c>
    </row>
    <row r="241" spans="2:13">
      <c r="B241" s="137">
        <f t="shared" ref="B241:B256" si="143">B240+1</f>
        <v>226</v>
      </c>
      <c r="C241" s="142">
        <f t="shared" si="129"/>
        <v>6876</v>
      </c>
      <c r="D241" s="148">
        <f t="shared" si="132"/>
        <v>0</v>
      </c>
      <c r="E241" s="148">
        <f t="shared" si="137"/>
        <v>0</v>
      </c>
      <c r="F241" s="148">
        <f t="shared" si="135"/>
        <v>0</v>
      </c>
      <c r="G241" s="148">
        <f t="shared" si="142"/>
        <v>0</v>
      </c>
      <c r="H241" s="148"/>
      <c r="I241" s="148">
        <f t="shared" si="133"/>
        <v>0</v>
      </c>
      <c r="J241" s="148">
        <f t="shared" si="142"/>
        <v>0</v>
      </c>
      <c r="K241" s="148"/>
      <c r="L241" s="149">
        <f t="shared" si="139"/>
        <v>0</v>
      </c>
      <c r="M241" s="149">
        <f t="shared" si="136"/>
        <v>0</v>
      </c>
    </row>
    <row r="242" spans="2:13">
      <c r="B242" s="137">
        <f t="shared" si="143"/>
        <v>227</v>
      </c>
      <c r="C242" s="142">
        <f t="shared" si="129"/>
        <v>6907</v>
      </c>
      <c r="D242" s="148">
        <f t="shared" si="132"/>
        <v>0</v>
      </c>
      <c r="E242" s="148">
        <f t="shared" si="137"/>
        <v>0</v>
      </c>
      <c r="F242" s="148">
        <f t="shared" si="135"/>
        <v>0</v>
      </c>
      <c r="G242" s="148">
        <f t="shared" si="142"/>
        <v>0</v>
      </c>
      <c r="H242" s="148"/>
      <c r="I242" s="148">
        <f t="shared" si="133"/>
        <v>0</v>
      </c>
      <c r="J242" s="148">
        <f t="shared" si="142"/>
        <v>0</v>
      </c>
      <c r="K242" s="148"/>
      <c r="L242" s="149">
        <f t="shared" si="139"/>
        <v>0</v>
      </c>
      <c r="M242" s="149">
        <f t="shared" si="136"/>
        <v>0</v>
      </c>
    </row>
    <row r="243" spans="2:13">
      <c r="B243" s="137">
        <f t="shared" si="143"/>
        <v>228</v>
      </c>
      <c r="C243" s="142">
        <f t="shared" si="129"/>
        <v>6937</v>
      </c>
      <c r="D243" s="148">
        <f t="shared" si="132"/>
        <v>0</v>
      </c>
      <c r="E243" s="148">
        <f t="shared" si="137"/>
        <v>0</v>
      </c>
      <c r="F243" s="148">
        <f t="shared" si="135"/>
        <v>0</v>
      </c>
      <c r="G243" s="148">
        <f t="shared" si="142"/>
        <v>0</v>
      </c>
      <c r="H243" s="148"/>
      <c r="I243" s="148">
        <f t="shared" si="133"/>
        <v>0</v>
      </c>
      <c r="J243" s="148">
        <f t="shared" si="142"/>
        <v>0</v>
      </c>
      <c r="K243" s="148"/>
      <c r="L243" s="149">
        <f t="shared" si="139"/>
        <v>0</v>
      </c>
      <c r="M243" s="149">
        <f t="shared" si="136"/>
        <v>0</v>
      </c>
    </row>
    <row r="244" spans="2:13">
      <c r="B244" s="137">
        <f t="shared" si="143"/>
        <v>229</v>
      </c>
      <c r="C244" s="142">
        <f t="shared" si="129"/>
        <v>6968</v>
      </c>
      <c r="D244" s="148">
        <f t="shared" si="132"/>
        <v>0</v>
      </c>
      <c r="E244" s="148">
        <f t="shared" si="137"/>
        <v>0</v>
      </c>
      <c r="F244" s="148">
        <f t="shared" si="135"/>
        <v>0</v>
      </c>
      <c r="G244" s="148">
        <f>ROUND(M243*$K$7*YEARFRAC(C243,C244),2)</f>
        <v>0</v>
      </c>
      <c r="H244" s="148"/>
      <c r="I244" s="148">
        <f t="shared" si="133"/>
        <v>0</v>
      </c>
      <c r="J244" s="148">
        <f>ROUND(M255*$K$8*YEARFRAC(C243,C244),2)</f>
        <v>0</v>
      </c>
      <c r="K244" s="148"/>
      <c r="L244" s="149">
        <f t="shared" si="139"/>
        <v>0</v>
      </c>
      <c r="M244" s="149">
        <f t="shared" si="136"/>
        <v>0</v>
      </c>
    </row>
    <row r="245" spans="2:13">
      <c r="B245" s="137">
        <f t="shared" si="143"/>
        <v>230</v>
      </c>
      <c r="C245" s="142">
        <f t="shared" si="129"/>
        <v>6999</v>
      </c>
      <c r="D245" s="148">
        <f t="shared" si="132"/>
        <v>0</v>
      </c>
      <c r="E245" s="148">
        <f t="shared" si="137"/>
        <v>0</v>
      </c>
      <c r="F245" s="148">
        <f t="shared" si="135"/>
        <v>0</v>
      </c>
      <c r="G245" s="148">
        <f>G244</f>
        <v>0</v>
      </c>
      <c r="H245" s="148"/>
      <c r="I245" s="148">
        <f t="shared" si="133"/>
        <v>0</v>
      </c>
      <c r="J245" s="148">
        <f>J244</f>
        <v>0</v>
      </c>
      <c r="K245" s="148"/>
      <c r="L245" s="149">
        <f t="shared" si="139"/>
        <v>0</v>
      </c>
      <c r="M245" s="149">
        <f t="shared" si="136"/>
        <v>0</v>
      </c>
    </row>
    <row r="246" spans="2:13">
      <c r="B246" s="137">
        <f t="shared" si="143"/>
        <v>231</v>
      </c>
      <c r="C246" s="142">
        <f t="shared" si="129"/>
        <v>7027</v>
      </c>
      <c r="D246" s="148">
        <f t="shared" si="132"/>
        <v>0</v>
      </c>
      <c r="E246" s="148">
        <f t="shared" si="137"/>
        <v>0</v>
      </c>
      <c r="F246" s="148">
        <f t="shared" si="135"/>
        <v>0</v>
      </c>
      <c r="G246" s="148">
        <f t="shared" ref="G246:J255" si="144">G245</f>
        <v>0</v>
      </c>
      <c r="H246" s="148"/>
      <c r="I246" s="148">
        <f t="shared" si="133"/>
        <v>0</v>
      </c>
      <c r="J246" s="148">
        <f t="shared" si="144"/>
        <v>0</v>
      </c>
      <c r="K246" s="148"/>
      <c r="L246" s="149">
        <f t="shared" si="139"/>
        <v>0</v>
      </c>
      <c r="M246" s="149">
        <f t="shared" si="136"/>
        <v>0</v>
      </c>
    </row>
    <row r="247" spans="2:13">
      <c r="B247" s="137">
        <f t="shared" si="143"/>
        <v>232</v>
      </c>
      <c r="C247" s="142">
        <f t="shared" si="129"/>
        <v>7058</v>
      </c>
      <c r="D247" s="148">
        <f t="shared" si="132"/>
        <v>0</v>
      </c>
      <c r="E247" s="148">
        <f t="shared" si="137"/>
        <v>0</v>
      </c>
      <c r="F247" s="148">
        <f t="shared" si="135"/>
        <v>0</v>
      </c>
      <c r="G247" s="148">
        <f t="shared" si="144"/>
        <v>0</v>
      </c>
      <c r="H247" s="148"/>
      <c r="I247" s="148">
        <f t="shared" si="133"/>
        <v>0</v>
      </c>
      <c r="J247" s="148">
        <f t="shared" si="144"/>
        <v>0</v>
      </c>
      <c r="K247" s="148"/>
      <c r="L247" s="149">
        <f t="shared" si="139"/>
        <v>0</v>
      </c>
      <c r="M247" s="149">
        <f t="shared" si="136"/>
        <v>0</v>
      </c>
    </row>
    <row r="248" spans="2:13">
      <c r="B248" s="137">
        <f t="shared" si="143"/>
        <v>233</v>
      </c>
      <c r="C248" s="142">
        <f t="shared" si="129"/>
        <v>7088</v>
      </c>
      <c r="D248" s="148">
        <f t="shared" si="132"/>
        <v>0</v>
      </c>
      <c r="E248" s="148">
        <f t="shared" si="137"/>
        <v>0</v>
      </c>
      <c r="F248" s="148">
        <f t="shared" si="135"/>
        <v>0</v>
      </c>
      <c r="G248" s="148">
        <f t="shared" si="144"/>
        <v>0</v>
      </c>
      <c r="H248" s="148"/>
      <c r="I248" s="148">
        <f t="shared" si="133"/>
        <v>0</v>
      </c>
      <c r="J248" s="148">
        <f t="shared" si="144"/>
        <v>0</v>
      </c>
      <c r="K248" s="148"/>
      <c r="L248" s="149">
        <f t="shared" si="139"/>
        <v>0</v>
      </c>
      <c r="M248" s="149">
        <f t="shared" si="136"/>
        <v>0</v>
      </c>
    </row>
    <row r="249" spans="2:13">
      <c r="B249" s="137">
        <f t="shared" si="143"/>
        <v>234</v>
      </c>
      <c r="C249" s="142">
        <f t="shared" si="129"/>
        <v>7119</v>
      </c>
      <c r="D249" s="148">
        <f t="shared" si="132"/>
        <v>0</v>
      </c>
      <c r="E249" s="148">
        <f t="shared" si="137"/>
        <v>0</v>
      </c>
      <c r="F249" s="148">
        <f t="shared" si="135"/>
        <v>0</v>
      </c>
      <c r="G249" s="148">
        <f t="shared" si="144"/>
        <v>0</v>
      </c>
      <c r="H249" s="148"/>
      <c r="I249" s="148">
        <f t="shared" si="133"/>
        <v>0</v>
      </c>
      <c r="J249" s="148">
        <f t="shared" si="144"/>
        <v>0</v>
      </c>
      <c r="K249" s="148"/>
      <c r="L249" s="149">
        <f t="shared" si="139"/>
        <v>0</v>
      </c>
      <c r="M249" s="149">
        <f t="shared" si="136"/>
        <v>0</v>
      </c>
    </row>
    <row r="250" spans="2:13">
      <c r="B250" s="137">
        <f t="shared" si="143"/>
        <v>235</v>
      </c>
      <c r="C250" s="142">
        <f t="shared" si="129"/>
        <v>7149</v>
      </c>
      <c r="D250" s="148">
        <f t="shared" si="132"/>
        <v>0</v>
      </c>
      <c r="E250" s="148">
        <f t="shared" si="137"/>
        <v>0</v>
      </c>
      <c r="F250" s="148">
        <f t="shared" si="135"/>
        <v>0</v>
      </c>
      <c r="G250" s="148">
        <f t="shared" si="144"/>
        <v>0</v>
      </c>
      <c r="H250" s="148"/>
      <c r="I250" s="148">
        <f t="shared" si="133"/>
        <v>0</v>
      </c>
      <c r="J250" s="148">
        <f t="shared" si="144"/>
        <v>0</v>
      </c>
      <c r="K250" s="148"/>
      <c r="L250" s="149">
        <f t="shared" si="139"/>
        <v>0</v>
      </c>
      <c r="M250" s="149">
        <f t="shared" si="136"/>
        <v>0</v>
      </c>
    </row>
    <row r="251" spans="2:13">
      <c r="B251" s="137">
        <f t="shared" si="143"/>
        <v>236</v>
      </c>
      <c r="C251" s="142">
        <f t="shared" si="129"/>
        <v>7180</v>
      </c>
      <c r="D251" s="148">
        <f t="shared" si="132"/>
        <v>0</v>
      </c>
      <c r="E251" s="148">
        <f t="shared" si="137"/>
        <v>0</v>
      </c>
      <c r="F251" s="148">
        <f t="shared" si="135"/>
        <v>0</v>
      </c>
      <c r="G251" s="148">
        <f t="shared" si="144"/>
        <v>0</v>
      </c>
      <c r="H251" s="148"/>
      <c r="I251" s="148">
        <f t="shared" si="133"/>
        <v>0</v>
      </c>
      <c r="J251" s="148">
        <f t="shared" si="144"/>
        <v>0</v>
      </c>
      <c r="K251" s="148"/>
      <c r="L251" s="149">
        <f t="shared" si="139"/>
        <v>0</v>
      </c>
      <c r="M251" s="149">
        <f t="shared" si="136"/>
        <v>0</v>
      </c>
    </row>
    <row r="252" spans="2:13">
      <c r="B252" s="137">
        <f t="shared" si="143"/>
        <v>237</v>
      </c>
      <c r="C252" s="142">
        <f t="shared" si="129"/>
        <v>7211</v>
      </c>
      <c r="D252" s="148">
        <f t="shared" si="132"/>
        <v>0</v>
      </c>
      <c r="E252" s="148">
        <f t="shared" si="137"/>
        <v>0</v>
      </c>
      <c r="F252" s="148">
        <f t="shared" si="135"/>
        <v>0</v>
      </c>
      <c r="G252" s="148">
        <f t="shared" si="144"/>
        <v>0</v>
      </c>
      <c r="H252" s="148"/>
      <c r="I252" s="148">
        <f t="shared" si="133"/>
        <v>0</v>
      </c>
      <c r="J252" s="148">
        <f t="shared" si="144"/>
        <v>0</v>
      </c>
      <c r="K252" s="148"/>
      <c r="L252" s="149">
        <f t="shared" si="139"/>
        <v>0</v>
      </c>
      <c r="M252" s="149">
        <f t="shared" si="136"/>
        <v>0</v>
      </c>
    </row>
    <row r="253" spans="2:13">
      <c r="B253" s="137">
        <f t="shared" si="143"/>
        <v>238</v>
      </c>
      <c r="C253" s="142">
        <f t="shared" si="129"/>
        <v>7241</v>
      </c>
      <c r="D253" s="148">
        <f t="shared" si="132"/>
        <v>0</v>
      </c>
      <c r="E253" s="148">
        <f t="shared" si="137"/>
        <v>0</v>
      </c>
      <c r="F253" s="148">
        <f t="shared" si="135"/>
        <v>0</v>
      </c>
      <c r="G253" s="148">
        <f t="shared" si="144"/>
        <v>0</v>
      </c>
      <c r="H253" s="148"/>
      <c r="I253" s="148">
        <f t="shared" si="133"/>
        <v>0</v>
      </c>
      <c r="J253" s="148">
        <f t="shared" si="144"/>
        <v>0</v>
      </c>
      <c r="K253" s="148"/>
      <c r="L253" s="149">
        <f t="shared" si="139"/>
        <v>0</v>
      </c>
      <c r="M253" s="149">
        <f t="shared" si="136"/>
        <v>0</v>
      </c>
    </row>
    <row r="254" spans="2:13">
      <c r="B254" s="137">
        <f t="shared" si="143"/>
        <v>239</v>
      </c>
      <c r="C254" s="142">
        <f t="shared" si="129"/>
        <v>7272</v>
      </c>
      <c r="D254" s="148">
        <f t="shared" si="132"/>
        <v>0</v>
      </c>
      <c r="E254" s="148">
        <f t="shared" si="137"/>
        <v>0</v>
      </c>
      <c r="F254" s="148">
        <f t="shared" si="135"/>
        <v>0</v>
      </c>
      <c r="G254" s="148">
        <f t="shared" si="144"/>
        <v>0</v>
      </c>
      <c r="H254" s="148"/>
      <c r="I254" s="148">
        <f t="shared" si="133"/>
        <v>0</v>
      </c>
      <c r="J254" s="148">
        <f t="shared" si="144"/>
        <v>0</v>
      </c>
      <c r="K254" s="148"/>
      <c r="L254" s="149">
        <f t="shared" si="139"/>
        <v>0</v>
      </c>
      <c r="M254" s="149">
        <f t="shared" si="136"/>
        <v>0</v>
      </c>
    </row>
    <row r="255" spans="2:13">
      <c r="B255" s="137">
        <f t="shared" si="143"/>
        <v>240</v>
      </c>
      <c r="C255" s="142">
        <f t="shared" si="129"/>
        <v>7302</v>
      </c>
      <c r="D255" s="148">
        <f t="shared" si="132"/>
        <v>0</v>
      </c>
      <c r="E255" s="148">
        <f t="shared" si="137"/>
        <v>0</v>
      </c>
      <c r="F255" s="148">
        <f t="shared" si="135"/>
        <v>0</v>
      </c>
      <c r="G255" s="148">
        <f t="shared" si="144"/>
        <v>0</v>
      </c>
      <c r="H255" s="148"/>
      <c r="I255" s="148">
        <f t="shared" si="133"/>
        <v>0</v>
      </c>
      <c r="J255" s="148">
        <f t="shared" si="144"/>
        <v>0</v>
      </c>
      <c r="K255" s="148"/>
      <c r="L255" s="149">
        <f t="shared" si="139"/>
        <v>0</v>
      </c>
      <c r="M255" s="149">
        <f t="shared" si="136"/>
        <v>0</v>
      </c>
    </row>
    <row r="256" spans="2:13">
      <c r="B256" s="137">
        <f t="shared" si="143"/>
        <v>241</v>
      </c>
      <c r="C256" s="142">
        <f t="shared" ref="C256:C319" si="145">EDATE(C255,1)</f>
        <v>7333</v>
      </c>
      <c r="D256" s="148">
        <f t="shared" si="132"/>
        <v>0</v>
      </c>
      <c r="E256" s="148">
        <f t="shared" si="137"/>
        <v>0</v>
      </c>
      <c r="F256" s="148">
        <f t="shared" si="135"/>
        <v>0</v>
      </c>
      <c r="G256" s="148">
        <f>ROUND(M255*$K$7*YEARFRAC(C255,C256),2)</f>
        <v>0</v>
      </c>
      <c r="H256" s="148"/>
      <c r="I256" s="148">
        <f t="shared" si="133"/>
        <v>0</v>
      </c>
      <c r="J256" s="148">
        <f>ROUND(M267*$K$8*YEARFRAC(C255,C256),2)</f>
        <v>0</v>
      </c>
      <c r="K256" s="148"/>
      <c r="L256" s="149">
        <f t="shared" si="139"/>
        <v>0</v>
      </c>
      <c r="M256" s="149">
        <f t="shared" si="136"/>
        <v>0</v>
      </c>
    </row>
    <row r="257" spans="2:13">
      <c r="B257" s="137">
        <f t="shared" ref="B257:B272" si="146">B256+1</f>
        <v>242</v>
      </c>
      <c r="C257" s="142">
        <f t="shared" si="145"/>
        <v>7364</v>
      </c>
      <c r="D257" s="148">
        <f t="shared" si="132"/>
        <v>0</v>
      </c>
      <c r="E257" s="148">
        <f t="shared" si="137"/>
        <v>0</v>
      </c>
      <c r="F257" s="148">
        <f t="shared" si="135"/>
        <v>0</v>
      </c>
      <c r="G257" s="148">
        <f>G256</f>
        <v>0</v>
      </c>
      <c r="H257" s="148"/>
      <c r="I257" s="148">
        <f t="shared" si="133"/>
        <v>0</v>
      </c>
      <c r="J257" s="148">
        <f>J256</f>
        <v>0</v>
      </c>
      <c r="K257" s="148"/>
      <c r="L257" s="149">
        <f t="shared" si="139"/>
        <v>0</v>
      </c>
      <c r="M257" s="149">
        <f t="shared" si="136"/>
        <v>0</v>
      </c>
    </row>
    <row r="258" spans="2:13">
      <c r="B258" s="137">
        <f t="shared" si="146"/>
        <v>243</v>
      </c>
      <c r="C258" s="142">
        <f t="shared" si="145"/>
        <v>7393</v>
      </c>
      <c r="D258" s="148">
        <f t="shared" si="132"/>
        <v>0</v>
      </c>
      <c r="E258" s="148">
        <f t="shared" si="137"/>
        <v>0</v>
      </c>
      <c r="F258" s="148">
        <f t="shared" si="135"/>
        <v>0</v>
      </c>
      <c r="G258" s="148">
        <f t="shared" ref="G258:J267" si="147">G257</f>
        <v>0</v>
      </c>
      <c r="H258" s="148"/>
      <c r="I258" s="148">
        <f t="shared" si="133"/>
        <v>0</v>
      </c>
      <c r="J258" s="148">
        <f t="shared" si="147"/>
        <v>0</v>
      </c>
      <c r="K258" s="148"/>
      <c r="L258" s="149">
        <f t="shared" si="139"/>
        <v>0</v>
      </c>
      <c r="M258" s="149">
        <f t="shared" si="136"/>
        <v>0</v>
      </c>
    </row>
    <row r="259" spans="2:13">
      <c r="B259" s="137">
        <f t="shared" si="146"/>
        <v>244</v>
      </c>
      <c r="C259" s="142">
        <f t="shared" si="145"/>
        <v>7424</v>
      </c>
      <c r="D259" s="148">
        <f t="shared" si="132"/>
        <v>0</v>
      </c>
      <c r="E259" s="148">
        <f t="shared" si="137"/>
        <v>0</v>
      </c>
      <c r="F259" s="148">
        <f t="shared" si="135"/>
        <v>0</v>
      </c>
      <c r="G259" s="148">
        <f t="shared" si="147"/>
        <v>0</v>
      </c>
      <c r="H259" s="148"/>
      <c r="I259" s="148">
        <f t="shared" si="133"/>
        <v>0</v>
      </c>
      <c r="J259" s="148">
        <f t="shared" si="147"/>
        <v>0</v>
      </c>
      <c r="K259" s="148"/>
      <c r="L259" s="149">
        <f t="shared" si="139"/>
        <v>0</v>
      </c>
      <c r="M259" s="149">
        <f t="shared" si="136"/>
        <v>0</v>
      </c>
    </row>
    <row r="260" spans="2:13">
      <c r="B260" s="137">
        <f t="shared" si="146"/>
        <v>245</v>
      </c>
      <c r="C260" s="142">
        <f t="shared" si="145"/>
        <v>7454</v>
      </c>
      <c r="D260" s="148">
        <f t="shared" si="132"/>
        <v>0</v>
      </c>
      <c r="E260" s="148">
        <f t="shared" si="137"/>
        <v>0</v>
      </c>
      <c r="F260" s="148">
        <f t="shared" si="135"/>
        <v>0</v>
      </c>
      <c r="G260" s="148">
        <f t="shared" si="147"/>
        <v>0</v>
      </c>
      <c r="H260" s="148"/>
      <c r="I260" s="148">
        <f t="shared" si="133"/>
        <v>0</v>
      </c>
      <c r="J260" s="148">
        <f t="shared" si="147"/>
        <v>0</v>
      </c>
      <c r="K260" s="148"/>
      <c r="L260" s="149">
        <f t="shared" si="139"/>
        <v>0</v>
      </c>
      <c r="M260" s="149">
        <f t="shared" si="136"/>
        <v>0</v>
      </c>
    </row>
    <row r="261" spans="2:13">
      <c r="B261" s="137">
        <f t="shared" si="146"/>
        <v>246</v>
      </c>
      <c r="C261" s="142">
        <f t="shared" si="145"/>
        <v>7485</v>
      </c>
      <c r="D261" s="148">
        <f t="shared" si="132"/>
        <v>0</v>
      </c>
      <c r="E261" s="148">
        <f t="shared" si="137"/>
        <v>0</v>
      </c>
      <c r="F261" s="148">
        <f t="shared" si="135"/>
        <v>0</v>
      </c>
      <c r="G261" s="148">
        <f t="shared" si="147"/>
        <v>0</v>
      </c>
      <c r="H261" s="148"/>
      <c r="I261" s="148">
        <f t="shared" si="133"/>
        <v>0</v>
      </c>
      <c r="J261" s="148">
        <f t="shared" si="147"/>
        <v>0</v>
      </c>
      <c r="K261" s="148"/>
      <c r="L261" s="149">
        <f t="shared" si="139"/>
        <v>0</v>
      </c>
      <c r="M261" s="149">
        <f t="shared" si="136"/>
        <v>0</v>
      </c>
    </row>
    <row r="262" spans="2:13">
      <c r="B262" s="137">
        <f t="shared" si="146"/>
        <v>247</v>
      </c>
      <c r="C262" s="142">
        <f t="shared" si="145"/>
        <v>7515</v>
      </c>
      <c r="D262" s="148">
        <f t="shared" si="132"/>
        <v>0</v>
      </c>
      <c r="E262" s="148">
        <f t="shared" si="137"/>
        <v>0</v>
      </c>
      <c r="F262" s="148">
        <f t="shared" si="135"/>
        <v>0</v>
      </c>
      <c r="G262" s="148">
        <f t="shared" si="147"/>
        <v>0</v>
      </c>
      <c r="H262" s="148"/>
      <c r="I262" s="148">
        <f t="shared" si="133"/>
        <v>0</v>
      </c>
      <c r="J262" s="148">
        <f t="shared" si="147"/>
        <v>0</v>
      </c>
      <c r="K262" s="148"/>
      <c r="L262" s="149">
        <f t="shared" si="139"/>
        <v>0</v>
      </c>
      <c r="M262" s="149">
        <f t="shared" si="136"/>
        <v>0</v>
      </c>
    </row>
    <row r="263" spans="2:13">
      <c r="B263" s="137">
        <f t="shared" si="146"/>
        <v>248</v>
      </c>
      <c r="C263" s="142">
        <f t="shared" si="145"/>
        <v>7546</v>
      </c>
      <c r="D263" s="148">
        <f t="shared" si="132"/>
        <v>0</v>
      </c>
      <c r="E263" s="148">
        <f t="shared" si="137"/>
        <v>0</v>
      </c>
      <c r="F263" s="148">
        <f t="shared" si="135"/>
        <v>0</v>
      </c>
      <c r="G263" s="148">
        <f t="shared" si="147"/>
        <v>0</v>
      </c>
      <c r="H263" s="148"/>
      <c r="I263" s="148">
        <f t="shared" si="133"/>
        <v>0</v>
      </c>
      <c r="J263" s="148">
        <f t="shared" si="147"/>
        <v>0</v>
      </c>
      <c r="K263" s="148"/>
      <c r="L263" s="149">
        <f t="shared" si="139"/>
        <v>0</v>
      </c>
      <c r="M263" s="149">
        <f t="shared" si="136"/>
        <v>0</v>
      </c>
    </row>
    <row r="264" spans="2:13">
      <c r="B264" s="137">
        <f t="shared" si="146"/>
        <v>249</v>
      </c>
      <c r="C264" s="142">
        <f t="shared" si="145"/>
        <v>7577</v>
      </c>
      <c r="D264" s="148">
        <f t="shared" si="132"/>
        <v>0</v>
      </c>
      <c r="E264" s="148">
        <f t="shared" si="137"/>
        <v>0</v>
      </c>
      <c r="F264" s="148">
        <f t="shared" si="135"/>
        <v>0</v>
      </c>
      <c r="G264" s="148">
        <f t="shared" si="147"/>
        <v>0</v>
      </c>
      <c r="H264" s="148"/>
      <c r="I264" s="148">
        <f t="shared" si="133"/>
        <v>0</v>
      </c>
      <c r="J264" s="148">
        <f t="shared" si="147"/>
        <v>0</v>
      </c>
      <c r="K264" s="148"/>
      <c r="L264" s="149">
        <f t="shared" si="139"/>
        <v>0</v>
      </c>
      <c r="M264" s="149">
        <f t="shared" si="136"/>
        <v>0</v>
      </c>
    </row>
    <row r="265" spans="2:13">
      <c r="B265" s="137">
        <f t="shared" si="146"/>
        <v>250</v>
      </c>
      <c r="C265" s="142">
        <f t="shared" si="145"/>
        <v>7607</v>
      </c>
      <c r="D265" s="148">
        <f t="shared" si="132"/>
        <v>0</v>
      </c>
      <c r="E265" s="148">
        <f t="shared" si="137"/>
        <v>0</v>
      </c>
      <c r="F265" s="148">
        <f t="shared" si="135"/>
        <v>0</v>
      </c>
      <c r="G265" s="148">
        <f t="shared" si="147"/>
        <v>0</v>
      </c>
      <c r="H265" s="148"/>
      <c r="I265" s="148">
        <f t="shared" si="133"/>
        <v>0</v>
      </c>
      <c r="J265" s="148">
        <f t="shared" si="147"/>
        <v>0</v>
      </c>
      <c r="K265" s="148"/>
      <c r="L265" s="149">
        <f t="shared" si="139"/>
        <v>0</v>
      </c>
      <c r="M265" s="149">
        <f t="shared" si="136"/>
        <v>0</v>
      </c>
    </row>
    <row r="266" spans="2:13">
      <c r="B266" s="137">
        <f t="shared" si="146"/>
        <v>251</v>
      </c>
      <c r="C266" s="142">
        <f t="shared" si="145"/>
        <v>7638</v>
      </c>
      <c r="D266" s="148">
        <f t="shared" si="132"/>
        <v>0</v>
      </c>
      <c r="E266" s="148">
        <f t="shared" si="137"/>
        <v>0</v>
      </c>
      <c r="F266" s="148">
        <f t="shared" si="135"/>
        <v>0</v>
      </c>
      <c r="G266" s="148">
        <f t="shared" si="147"/>
        <v>0</v>
      </c>
      <c r="H266" s="148"/>
      <c r="I266" s="148">
        <f t="shared" si="133"/>
        <v>0</v>
      </c>
      <c r="J266" s="148">
        <f t="shared" si="147"/>
        <v>0</v>
      </c>
      <c r="K266" s="148"/>
      <c r="L266" s="149">
        <f t="shared" si="139"/>
        <v>0</v>
      </c>
      <c r="M266" s="149">
        <f t="shared" si="136"/>
        <v>0</v>
      </c>
    </row>
    <row r="267" spans="2:13">
      <c r="B267" s="137">
        <f t="shared" si="146"/>
        <v>252</v>
      </c>
      <c r="C267" s="142">
        <f t="shared" si="145"/>
        <v>7668</v>
      </c>
      <c r="D267" s="148">
        <f t="shared" si="132"/>
        <v>0</v>
      </c>
      <c r="E267" s="148">
        <f t="shared" si="137"/>
        <v>0</v>
      </c>
      <c r="F267" s="148">
        <f t="shared" si="135"/>
        <v>0</v>
      </c>
      <c r="G267" s="148">
        <f t="shared" si="147"/>
        <v>0</v>
      </c>
      <c r="H267" s="148"/>
      <c r="I267" s="148">
        <f t="shared" si="133"/>
        <v>0</v>
      </c>
      <c r="J267" s="148">
        <f t="shared" si="147"/>
        <v>0</v>
      </c>
      <c r="K267" s="148"/>
      <c r="L267" s="149">
        <f t="shared" si="139"/>
        <v>0</v>
      </c>
      <c r="M267" s="149">
        <f t="shared" si="136"/>
        <v>0</v>
      </c>
    </row>
    <row r="268" spans="2:13">
      <c r="B268" s="137">
        <f t="shared" si="146"/>
        <v>253</v>
      </c>
      <c r="C268" s="142">
        <f t="shared" si="145"/>
        <v>7699</v>
      </c>
      <c r="D268" s="148">
        <f t="shared" si="132"/>
        <v>0</v>
      </c>
      <c r="E268" s="148">
        <f t="shared" si="137"/>
        <v>0</v>
      </c>
      <c r="F268" s="148">
        <f t="shared" si="135"/>
        <v>0</v>
      </c>
      <c r="G268" s="148">
        <f>ROUND(M267*$K$7*YEARFRAC(C267,C268),2)</f>
        <v>0</v>
      </c>
      <c r="H268" s="148"/>
      <c r="I268" s="148">
        <f t="shared" si="133"/>
        <v>0</v>
      </c>
      <c r="J268" s="148">
        <f>ROUND(M279*$K$8*YEARFRAC(C267,C268),2)</f>
        <v>0</v>
      </c>
      <c r="K268" s="148"/>
      <c r="L268" s="149">
        <f t="shared" si="139"/>
        <v>0</v>
      </c>
      <c r="M268" s="149">
        <f t="shared" si="136"/>
        <v>0</v>
      </c>
    </row>
    <row r="269" spans="2:13">
      <c r="B269" s="137">
        <f t="shared" si="146"/>
        <v>254</v>
      </c>
      <c r="C269" s="142">
        <f t="shared" si="145"/>
        <v>7730</v>
      </c>
      <c r="D269" s="148">
        <f t="shared" si="132"/>
        <v>0</v>
      </c>
      <c r="E269" s="148">
        <f t="shared" si="137"/>
        <v>0</v>
      </c>
      <c r="F269" s="148">
        <f t="shared" si="135"/>
        <v>0</v>
      </c>
      <c r="G269" s="148">
        <f>G268</f>
        <v>0</v>
      </c>
      <c r="H269" s="148"/>
      <c r="I269" s="148">
        <f t="shared" si="133"/>
        <v>0</v>
      </c>
      <c r="J269" s="148">
        <f>J268</f>
        <v>0</v>
      </c>
      <c r="K269" s="148"/>
      <c r="L269" s="149">
        <f t="shared" si="139"/>
        <v>0</v>
      </c>
      <c r="M269" s="149">
        <f t="shared" si="136"/>
        <v>0</v>
      </c>
    </row>
    <row r="270" spans="2:13">
      <c r="B270" s="137">
        <f t="shared" si="146"/>
        <v>255</v>
      </c>
      <c r="C270" s="142">
        <f t="shared" si="145"/>
        <v>7758</v>
      </c>
      <c r="D270" s="148">
        <f t="shared" si="132"/>
        <v>0</v>
      </c>
      <c r="E270" s="148">
        <f t="shared" si="137"/>
        <v>0</v>
      </c>
      <c r="F270" s="148">
        <f t="shared" si="135"/>
        <v>0</v>
      </c>
      <c r="G270" s="148">
        <f t="shared" ref="G270:J279" si="148">G269</f>
        <v>0</v>
      </c>
      <c r="H270" s="148"/>
      <c r="I270" s="148">
        <f t="shared" si="133"/>
        <v>0</v>
      </c>
      <c r="J270" s="148">
        <f t="shared" si="148"/>
        <v>0</v>
      </c>
      <c r="K270" s="148"/>
      <c r="L270" s="149">
        <f t="shared" si="139"/>
        <v>0</v>
      </c>
      <c r="M270" s="149">
        <f t="shared" si="136"/>
        <v>0</v>
      </c>
    </row>
    <row r="271" spans="2:13">
      <c r="B271" s="137">
        <f t="shared" si="146"/>
        <v>256</v>
      </c>
      <c r="C271" s="142">
        <f t="shared" si="145"/>
        <v>7789</v>
      </c>
      <c r="D271" s="148">
        <f t="shared" si="132"/>
        <v>0</v>
      </c>
      <c r="E271" s="148">
        <f t="shared" si="137"/>
        <v>0</v>
      </c>
      <c r="F271" s="148">
        <f t="shared" si="135"/>
        <v>0</v>
      </c>
      <c r="G271" s="148">
        <f t="shared" si="148"/>
        <v>0</v>
      </c>
      <c r="H271" s="148"/>
      <c r="I271" s="148">
        <f t="shared" si="133"/>
        <v>0</v>
      </c>
      <c r="J271" s="148">
        <f t="shared" si="148"/>
        <v>0</v>
      </c>
      <c r="K271" s="148"/>
      <c r="L271" s="149">
        <f t="shared" si="139"/>
        <v>0</v>
      </c>
      <c r="M271" s="149">
        <f t="shared" si="136"/>
        <v>0</v>
      </c>
    </row>
    <row r="272" spans="2:13">
      <c r="B272" s="137">
        <f t="shared" si="146"/>
        <v>257</v>
      </c>
      <c r="C272" s="142">
        <f t="shared" si="145"/>
        <v>7819</v>
      </c>
      <c r="D272" s="148">
        <f t="shared" ref="D272:D335" si="149">IF(B272=($C$7*12),M271,IF(B272&gt;($C$7*12),0,PPMT($K$5/12,B272,$C$9*12,-$C$5)))</f>
        <v>0</v>
      </c>
      <c r="E272" s="148">
        <f t="shared" si="137"/>
        <v>0</v>
      </c>
      <c r="F272" s="148">
        <f t="shared" si="135"/>
        <v>0</v>
      </c>
      <c r="G272" s="148">
        <f t="shared" si="148"/>
        <v>0</v>
      </c>
      <c r="H272" s="148"/>
      <c r="I272" s="148">
        <f t="shared" ref="I272:I335" si="150">ROUND($K$6*(M272+2*E274+2*G274),2)/12</f>
        <v>0</v>
      </c>
      <c r="J272" s="148">
        <f t="shared" si="148"/>
        <v>0</v>
      </c>
      <c r="K272" s="148"/>
      <c r="L272" s="149">
        <f t="shared" si="139"/>
        <v>0</v>
      </c>
      <c r="M272" s="149">
        <f t="shared" si="136"/>
        <v>0</v>
      </c>
    </row>
    <row r="273" spans="2:13">
      <c r="B273" s="137">
        <f t="shared" ref="B273:B288" si="151">B272+1</f>
        <v>258</v>
      </c>
      <c r="C273" s="142">
        <f t="shared" si="145"/>
        <v>7850</v>
      </c>
      <c r="D273" s="148">
        <f t="shared" si="149"/>
        <v>0</v>
      </c>
      <c r="E273" s="148">
        <f t="shared" si="137"/>
        <v>0</v>
      </c>
      <c r="F273" s="148">
        <f t="shared" ref="F273:F336" si="152">SUM(D273:E273)</f>
        <v>0</v>
      </c>
      <c r="G273" s="148">
        <f t="shared" si="148"/>
        <v>0</v>
      </c>
      <c r="H273" s="148"/>
      <c r="I273" s="148">
        <f t="shared" si="150"/>
        <v>0</v>
      </c>
      <c r="J273" s="148">
        <f t="shared" si="148"/>
        <v>0</v>
      </c>
      <c r="K273" s="148"/>
      <c r="L273" s="149">
        <f t="shared" si="139"/>
        <v>0</v>
      </c>
      <c r="M273" s="149">
        <f t="shared" ref="M273:M336" si="153">+M272-D273</f>
        <v>0</v>
      </c>
    </row>
    <row r="274" spans="2:13">
      <c r="B274" s="137">
        <f t="shared" si="151"/>
        <v>259</v>
      </c>
      <c r="C274" s="142">
        <f t="shared" si="145"/>
        <v>7880</v>
      </c>
      <c r="D274" s="148">
        <f t="shared" si="149"/>
        <v>0</v>
      </c>
      <c r="E274" s="148">
        <f t="shared" ref="E274:E337" si="154">($K$5)/12*M273</f>
        <v>0</v>
      </c>
      <c r="F274" s="148">
        <f t="shared" si="152"/>
        <v>0</v>
      </c>
      <c r="G274" s="148">
        <f t="shared" si="148"/>
        <v>0</v>
      </c>
      <c r="H274" s="148"/>
      <c r="I274" s="148">
        <f t="shared" si="150"/>
        <v>0</v>
      </c>
      <c r="J274" s="148">
        <f t="shared" si="148"/>
        <v>0</v>
      </c>
      <c r="K274" s="148"/>
      <c r="L274" s="149">
        <f t="shared" ref="L274:L337" si="155">SUM(F274:J274)</f>
        <v>0</v>
      </c>
      <c r="M274" s="149">
        <f t="shared" si="153"/>
        <v>0</v>
      </c>
    </row>
    <row r="275" spans="2:13">
      <c r="B275" s="137">
        <f t="shared" si="151"/>
        <v>260</v>
      </c>
      <c r="C275" s="142">
        <f t="shared" si="145"/>
        <v>7911</v>
      </c>
      <c r="D275" s="148">
        <f t="shared" si="149"/>
        <v>0</v>
      </c>
      <c r="E275" s="148">
        <f t="shared" si="154"/>
        <v>0</v>
      </c>
      <c r="F275" s="148">
        <f t="shared" si="152"/>
        <v>0</v>
      </c>
      <c r="G275" s="148">
        <f t="shared" si="148"/>
        <v>0</v>
      </c>
      <c r="H275" s="148"/>
      <c r="I275" s="148">
        <f t="shared" si="150"/>
        <v>0</v>
      </c>
      <c r="J275" s="148">
        <f t="shared" si="148"/>
        <v>0</v>
      </c>
      <c r="K275" s="148"/>
      <c r="L275" s="149">
        <f t="shared" si="155"/>
        <v>0</v>
      </c>
      <c r="M275" s="149">
        <f t="shared" si="153"/>
        <v>0</v>
      </c>
    </row>
    <row r="276" spans="2:13">
      <c r="B276" s="137">
        <f t="shared" si="151"/>
        <v>261</v>
      </c>
      <c r="C276" s="142">
        <f t="shared" si="145"/>
        <v>7942</v>
      </c>
      <c r="D276" s="148">
        <f t="shared" si="149"/>
        <v>0</v>
      </c>
      <c r="E276" s="148">
        <f t="shared" si="154"/>
        <v>0</v>
      </c>
      <c r="F276" s="148">
        <f t="shared" si="152"/>
        <v>0</v>
      </c>
      <c r="G276" s="148">
        <f t="shared" si="148"/>
        <v>0</v>
      </c>
      <c r="H276" s="148"/>
      <c r="I276" s="148">
        <f t="shared" si="150"/>
        <v>0</v>
      </c>
      <c r="J276" s="148">
        <f t="shared" si="148"/>
        <v>0</v>
      </c>
      <c r="K276" s="148"/>
      <c r="L276" s="149">
        <f t="shared" si="155"/>
        <v>0</v>
      </c>
      <c r="M276" s="149">
        <f t="shared" si="153"/>
        <v>0</v>
      </c>
    </row>
    <row r="277" spans="2:13">
      <c r="B277" s="137">
        <f t="shared" si="151"/>
        <v>262</v>
      </c>
      <c r="C277" s="142">
        <f t="shared" si="145"/>
        <v>7972</v>
      </c>
      <c r="D277" s="148">
        <f t="shared" si="149"/>
        <v>0</v>
      </c>
      <c r="E277" s="148">
        <f t="shared" si="154"/>
        <v>0</v>
      </c>
      <c r="F277" s="148">
        <f t="shared" si="152"/>
        <v>0</v>
      </c>
      <c r="G277" s="148">
        <f t="shared" si="148"/>
        <v>0</v>
      </c>
      <c r="H277" s="148"/>
      <c r="I277" s="148">
        <f t="shared" si="150"/>
        <v>0</v>
      </c>
      <c r="J277" s="148">
        <f t="shared" si="148"/>
        <v>0</v>
      </c>
      <c r="K277" s="148"/>
      <c r="L277" s="149">
        <f t="shared" si="155"/>
        <v>0</v>
      </c>
      <c r="M277" s="149">
        <f t="shared" si="153"/>
        <v>0</v>
      </c>
    </row>
    <row r="278" spans="2:13">
      <c r="B278" s="137">
        <f t="shared" si="151"/>
        <v>263</v>
      </c>
      <c r="C278" s="142">
        <f t="shared" si="145"/>
        <v>8003</v>
      </c>
      <c r="D278" s="148">
        <f t="shared" si="149"/>
        <v>0</v>
      </c>
      <c r="E278" s="148">
        <f t="shared" si="154"/>
        <v>0</v>
      </c>
      <c r="F278" s="148">
        <f t="shared" si="152"/>
        <v>0</v>
      </c>
      <c r="G278" s="148">
        <f t="shared" si="148"/>
        <v>0</v>
      </c>
      <c r="H278" s="148"/>
      <c r="I278" s="148">
        <f t="shared" si="150"/>
        <v>0</v>
      </c>
      <c r="J278" s="148">
        <f t="shared" si="148"/>
        <v>0</v>
      </c>
      <c r="K278" s="148"/>
      <c r="L278" s="149">
        <f t="shared" si="155"/>
        <v>0</v>
      </c>
      <c r="M278" s="149">
        <f t="shared" si="153"/>
        <v>0</v>
      </c>
    </row>
    <row r="279" spans="2:13">
      <c r="B279" s="137">
        <f t="shared" si="151"/>
        <v>264</v>
      </c>
      <c r="C279" s="142">
        <f t="shared" si="145"/>
        <v>8033</v>
      </c>
      <c r="D279" s="148">
        <f t="shared" si="149"/>
        <v>0</v>
      </c>
      <c r="E279" s="148">
        <f t="shared" si="154"/>
        <v>0</v>
      </c>
      <c r="F279" s="148">
        <f t="shared" si="152"/>
        <v>0</v>
      </c>
      <c r="G279" s="148">
        <f t="shared" si="148"/>
        <v>0</v>
      </c>
      <c r="H279" s="148"/>
      <c r="I279" s="148">
        <f t="shared" si="150"/>
        <v>0</v>
      </c>
      <c r="J279" s="148">
        <f t="shared" si="148"/>
        <v>0</v>
      </c>
      <c r="K279" s="148"/>
      <c r="L279" s="149">
        <f t="shared" si="155"/>
        <v>0</v>
      </c>
      <c r="M279" s="149">
        <f t="shared" si="153"/>
        <v>0</v>
      </c>
    </row>
    <row r="280" spans="2:13">
      <c r="B280" s="137">
        <f t="shared" si="151"/>
        <v>265</v>
      </c>
      <c r="C280" s="142">
        <f t="shared" si="145"/>
        <v>8064</v>
      </c>
      <c r="D280" s="148">
        <f t="shared" si="149"/>
        <v>0</v>
      </c>
      <c r="E280" s="148">
        <f t="shared" si="154"/>
        <v>0</v>
      </c>
      <c r="F280" s="148">
        <f t="shared" si="152"/>
        <v>0</v>
      </c>
      <c r="G280" s="148">
        <f>ROUND(M279*$K$7*YEARFRAC(C279,C280),2)</f>
        <v>0</v>
      </c>
      <c r="H280" s="148"/>
      <c r="I280" s="148">
        <f t="shared" si="150"/>
        <v>0</v>
      </c>
      <c r="J280" s="148">
        <f>ROUND(M291*$K$8*YEARFRAC(C279,C280),2)</f>
        <v>0</v>
      </c>
      <c r="K280" s="148"/>
      <c r="L280" s="149">
        <f t="shared" si="155"/>
        <v>0</v>
      </c>
      <c r="M280" s="149">
        <f t="shared" si="153"/>
        <v>0</v>
      </c>
    </row>
    <row r="281" spans="2:13">
      <c r="B281" s="137">
        <f t="shared" si="151"/>
        <v>266</v>
      </c>
      <c r="C281" s="142">
        <f t="shared" si="145"/>
        <v>8095</v>
      </c>
      <c r="D281" s="148">
        <f t="shared" si="149"/>
        <v>0</v>
      </c>
      <c r="E281" s="148">
        <f t="shared" si="154"/>
        <v>0</v>
      </c>
      <c r="F281" s="148">
        <f t="shared" si="152"/>
        <v>0</v>
      </c>
      <c r="G281" s="148">
        <f>G280</f>
        <v>0</v>
      </c>
      <c r="H281" s="148"/>
      <c r="I281" s="148">
        <f t="shared" si="150"/>
        <v>0</v>
      </c>
      <c r="J281" s="148">
        <f>J280</f>
        <v>0</v>
      </c>
      <c r="K281" s="148"/>
      <c r="L281" s="149">
        <f t="shared" si="155"/>
        <v>0</v>
      </c>
      <c r="M281" s="149">
        <f t="shared" si="153"/>
        <v>0</v>
      </c>
    </row>
    <row r="282" spans="2:13">
      <c r="B282" s="137">
        <f t="shared" si="151"/>
        <v>267</v>
      </c>
      <c r="C282" s="142">
        <f t="shared" si="145"/>
        <v>8123</v>
      </c>
      <c r="D282" s="148">
        <f t="shared" si="149"/>
        <v>0</v>
      </c>
      <c r="E282" s="148">
        <f t="shared" si="154"/>
        <v>0</v>
      </c>
      <c r="F282" s="148">
        <f t="shared" si="152"/>
        <v>0</v>
      </c>
      <c r="G282" s="148">
        <f t="shared" ref="G282:J291" si="156">G281</f>
        <v>0</v>
      </c>
      <c r="H282" s="148"/>
      <c r="I282" s="148">
        <f t="shared" si="150"/>
        <v>0</v>
      </c>
      <c r="J282" s="148">
        <f t="shared" si="156"/>
        <v>0</v>
      </c>
      <c r="K282" s="148"/>
      <c r="L282" s="149">
        <f t="shared" si="155"/>
        <v>0</v>
      </c>
      <c r="M282" s="149">
        <f t="shared" si="153"/>
        <v>0</v>
      </c>
    </row>
    <row r="283" spans="2:13">
      <c r="B283" s="137">
        <f t="shared" si="151"/>
        <v>268</v>
      </c>
      <c r="C283" s="142">
        <f t="shared" si="145"/>
        <v>8154</v>
      </c>
      <c r="D283" s="148">
        <f t="shared" si="149"/>
        <v>0</v>
      </c>
      <c r="E283" s="148">
        <f t="shared" si="154"/>
        <v>0</v>
      </c>
      <c r="F283" s="148">
        <f t="shared" si="152"/>
        <v>0</v>
      </c>
      <c r="G283" s="148">
        <f t="shared" si="156"/>
        <v>0</v>
      </c>
      <c r="H283" s="148"/>
      <c r="I283" s="148">
        <f t="shared" si="150"/>
        <v>0</v>
      </c>
      <c r="J283" s="148">
        <f t="shared" si="156"/>
        <v>0</v>
      </c>
      <c r="K283" s="148"/>
      <c r="L283" s="149">
        <f t="shared" si="155"/>
        <v>0</v>
      </c>
      <c r="M283" s="149">
        <f t="shared" si="153"/>
        <v>0</v>
      </c>
    </row>
    <row r="284" spans="2:13">
      <c r="B284" s="137">
        <f t="shared" si="151"/>
        <v>269</v>
      </c>
      <c r="C284" s="142">
        <f t="shared" si="145"/>
        <v>8184</v>
      </c>
      <c r="D284" s="148">
        <f t="shared" si="149"/>
        <v>0</v>
      </c>
      <c r="E284" s="148">
        <f t="shared" si="154"/>
        <v>0</v>
      </c>
      <c r="F284" s="148">
        <f t="shared" si="152"/>
        <v>0</v>
      </c>
      <c r="G284" s="148">
        <f t="shared" si="156"/>
        <v>0</v>
      </c>
      <c r="H284" s="148"/>
      <c r="I284" s="148">
        <f t="shared" si="150"/>
        <v>0</v>
      </c>
      <c r="J284" s="148">
        <f t="shared" si="156"/>
        <v>0</v>
      </c>
      <c r="K284" s="148"/>
      <c r="L284" s="149">
        <f t="shared" si="155"/>
        <v>0</v>
      </c>
      <c r="M284" s="149">
        <f t="shared" si="153"/>
        <v>0</v>
      </c>
    </row>
    <row r="285" spans="2:13">
      <c r="B285" s="137">
        <f t="shared" si="151"/>
        <v>270</v>
      </c>
      <c r="C285" s="142">
        <f t="shared" si="145"/>
        <v>8215</v>
      </c>
      <c r="D285" s="148">
        <f t="shared" si="149"/>
        <v>0</v>
      </c>
      <c r="E285" s="148">
        <f t="shared" si="154"/>
        <v>0</v>
      </c>
      <c r="F285" s="148">
        <f t="shared" si="152"/>
        <v>0</v>
      </c>
      <c r="G285" s="148">
        <f t="shared" si="156"/>
        <v>0</v>
      </c>
      <c r="H285" s="148"/>
      <c r="I285" s="148">
        <f t="shared" si="150"/>
        <v>0</v>
      </c>
      <c r="J285" s="148">
        <f t="shared" si="156"/>
        <v>0</v>
      </c>
      <c r="K285" s="148"/>
      <c r="L285" s="149">
        <f t="shared" si="155"/>
        <v>0</v>
      </c>
      <c r="M285" s="149">
        <f t="shared" si="153"/>
        <v>0</v>
      </c>
    </row>
    <row r="286" spans="2:13">
      <c r="B286" s="137">
        <f t="shared" si="151"/>
        <v>271</v>
      </c>
      <c r="C286" s="142">
        <f t="shared" si="145"/>
        <v>8245</v>
      </c>
      <c r="D286" s="148">
        <f t="shared" si="149"/>
        <v>0</v>
      </c>
      <c r="E286" s="148">
        <f t="shared" si="154"/>
        <v>0</v>
      </c>
      <c r="F286" s="148">
        <f t="shared" si="152"/>
        <v>0</v>
      </c>
      <c r="G286" s="148">
        <f t="shared" si="156"/>
        <v>0</v>
      </c>
      <c r="H286" s="148"/>
      <c r="I286" s="148">
        <f t="shared" si="150"/>
        <v>0</v>
      </c>
      <c r="J286" s="148">
        <f t="shared" si="156"/>
        <v>0</v>
      </c>
      <c r="K286" s="148"/>
      <c r="L286" s="149">
        <f t="shared" si="155"/>
        <v>0</v>
      </c>
      <c r="M286" s="149">
        <f t="shared" si="153"/>
        <v>0</v>
      </c>
    </row>
    <row r="287" spans="2:13">
      <c r="B287" s="137">
        <f t="shared" si="151"/>
        <v>272</v>
      </c>
      <c r="C287" s="142">
        <f t="shared" si="145"/>
        <v>8276</v>
      </c>
      <c r="D287" s="148">
        <f t="shared" si="149"/>
        <v>0</v>
      </c>
      <c r="E287" s="148">
        <f t="shared" si="154"/>
        <v>0</v>
      </c>
      <c r="F287" s="148">
        <f t="shared" si="152"/>
        <v>0</v>
      </c>
      <c r="G287" s="148">
        <f t="shared" si="156"/>
        <v>0</v>
      </c>
      <c r="H287" s="148"/>
      <c r="I287" s="148">
        <f t="shared" si="150"/>
        <v>0</v>
      </c>
      <c r="J287" s="148">
        <f t="shared" si="156"/>
        <v>0</v>
      </c>
      <c r="K287" s="148"/>
      <c r="L287" s="149">
        <f t="shared" si="155"/>
        <v>0</v>
      </c>
      <c r="M287" s="149">
        <f t="shared" si="153"/>
        <v>0</v>
      </c>
    </row>
    <row r="288" spans="2:13">
      <c r="B288" s="137">
        <f t="shared" si="151"/>
        <v>273</v>
      </c>
      <c r="C288" s="142">
        <f t="shared" si="145"/>
        <v>8307</v>
      </c>
      <c r="D288" s="148">
        <f t="shared" si="149"/>
        <v>0</v>
      </c>
      <c r="E288" s="148">
        <f t="shared" si="154"/>
        <v>0</v>
      </c>
      <c r="F288" s="148">
        <f t="shared" si="152"/>
        <v>0</v>
      </c>
      <c r="G288" s="148">
        <f t="shared" si="156"/>
        <v>0</v>
      </c>
      <c r="H288" s="148"/>
      <c r="I288" s="148">
        <f t="shared" si="150"/>
        <v>0</v>
      </c>
      <c r="J288" s="148">
        <f t="shared" si="156"/>
        <v>0</v>
      </c>
      <c r="K288" s="148"/>
      <c r="L288" s="149">
        <f t="shared" si="155"/>
        <v>0</v>
      </c>
      <c r="M288" s="149">
        <f t="shared" si="153"/>
        <v>0</v>
      </c>
    </row>
    <row r="289" spans="2:13">
      <c r="B289" s="137">
        <f t="shared" ref="B289:B304" si="157">B288+1</f>
        <v>274</v>
      </c>
      <c r="C289" s="142">
        <f t="shared" si="145"/>
        <v>8337</v>
      </c>
      <c r="D289" s="148">
        <f t="shared" si="149"/>
        <v>0</v>
      </c>
      <c r="E289" s="148">
        <f t="shared" si="154"/>
        <v>0</v>
      </c>
      <c r="F289" s="148">
        <f t="shared" si="152"/>
        <v>0</v>
      </c>
      <c r="G289" s="148">
        <f t="shared" si="156"/>
        <v>0</v>
      </c>
      <c r="H289" s="148"/>
      <c r="I289" s="148">
        <f t="shared" si="150"/>
        <v>0</v>
      </c>
      <c r="J289" s="148">
        <f t="shared" si="156"/>
        <v>0</v>
      </c>
      <c r="K289" s="148"/>
      <c r="L289" s="149">
        <f t="shared" si="155"/>
        <v>0</v>
      </c>
      <c r="M289" s="149">
        <f t="shared" si="153"/>
        <v>0</v>
      </c>
    </row>
    <row r="290" spans="2:13">
      <c r="B290" s="137">
        <f t="shared" si="157"/>
        <v>275</v>
      </c>
      <c r="C290" s="142">
        <f t="shared" si="145"/>
        <v>8368</v>
      </c>
      <c r="D290" s="148">
        <f t="shared" si="149"/>
        <v>0</v>
      </c>
      <c r="E290" s="148">
        <f t="shared" si="154"/>
        <v>0</v>
      </c>
      <c r="F290" s="148">
        <f t="shared" si="152"/>
        <v>0</v>
      </c>
      <c r="G290" s="148">
        <f t="shared" si="156"/>
        <v>0</v>
      </c>
      <c r="H290" s="148"/>
      <c r="I290" s="148">
        <f t="shared" si="150"/>
        <v>0</v>
      </c>
      <c r="J290" s="148">
        <f t="shared" si="156"/>
        <v>0</v>
      </c>
      <c r="K290" s="148"/>
      <c r="L290" s="149">
        <f t="shared" si="155"/>
        <v>0</v>
      </c>
      <c r="M290" s="149">
        <f t="shared" si="153"/>
        <v>0</v>
      </c>
    </row>
    <row r="291" spans="2:13">
      <c r="B291" s="137">
        <f t="shared" si="157"/>
        <v>276</v>
      </c>
      <c r="C291" s="142">
        <f t="shared" si="145"/>
        <v>8398</v>
      </c>
      <c r="D291" s="148">
        <f t="shared" si="149"/>
        <v>0</v>
      </c>
      <c r="E291" s="148">
        <f t="shared" si="154"/>
        <v>0</v>
      </c>
      <c r="F291" s="148">
        <f t="shared" si="152"/>
        <v>0</v>
      </c>
      <c r="G291" s="148">
        <f t="shared" si="156"/>
        <v>0</v>
      </c>
      <c r="H291" s="148"/>
      <c r="I291" s="148">
        <f t="shared" si="150"/>
        <v>0</v>
      </c>
      <c r="J291" s="148">
        <f t="shared" si="156"/>
        <v>0</v>
      </c>
      <c r="K291" s="148"/>
      <c r="L291" s="149">
        <f t="shared" si="155"/>
        <v>0</v>
      </c>
      <c r="M291" s="149">
        <f t="shared" si="153"/>
        <v>0</v>
      </c>
    </row>
    <row r="292" spans="2:13">
      <c r="B292" s="137">
        <f t="shared" si="157"/>
        <v>277</v>
      </c>
      <c r="C292" s="142">
        <f t="shared" si="145"/>
        <v>8429</v>
      </c>
      <c r="D292" s="148">
        <f t="shared" si="149"/>
        <v>0</v>
      </c>
      <c r="E292" s="148">
        <f t="shared" si="154"/>
        <v>0</v>
      </c>
      <c r="F292" s="148">
        <f t="shared" si="152"/>
        <v>0</v>
      </c>
      <c r="G292" s="148">
        <f>ROUND(M291*$K$7*YEARFRAC(C291,C292),2)</f>
        <v>0</v>
      </c>
      <c r="H292" s="148"/>
      <c r="I292" s="148">
        <f t="shared" si="150"/>
        <v>0</v>
      </c>
      <c r="J292" s="148">
        <f>ROUND(M303*$K$8*YEARFRAC(C291,C292),2)</f>
        <v>0</v>
      </c>
      <c r="K292" s="148"/>
      <c r="L292" s="149">
        <f t="shared" si="155"/>
        <v>0</v>
      </c>
      <c r="M292" s="149">
        <f t="shared" si="153"/>
        <v>0</v>
      </c>
    </row>
    <row r="293" spans="2:13">
      <c r="B293" s="137">
        <f t="shared" si="157"/>
        <v>278</v>
      </c>
      <c r="C293" s="142">
        <f t="shared" si="145"/>
        <v>8460</v>
      </c>
      <c r="D293" s="148">
        <f t="shared" si="149"/>
        <v>0</v>
      </c>
      <c r="E293" s="148">
        <f t="shared" si="154"/>
        <v>0</v>
      </c>
      <c r="F293" s="148">
        <f t="shared" si="152"/>
        <v>0</v>
      </c>
      <c r="G293" s="148">
        <f>G292</f>
        <v>0</v>
      </c>
      <c r="H293" s="148"/>
      <c r="I293" s="148">
        <f t="shared" si="150"/>
        <v>0</v>
      </c>
      <c r="J293" s="148">
        <f>J292</f>
        <v>0</v>
      </c>
      <c r="K293" s="148"/>
      <c r="L293" s="149">
        <f t="shared" si="155"/>
        <v>0</v>
      </c>
      <c r="M293" s="149">
        <f t="shared" si="153"/>
        <v>0</v>
      </c>
    </row>
    <row r="294" spans="2:13">
      <c r="B294" s="137">
        <f t="shared" si="157"/>
        <v>279</v>
      </c>
      <c r="C294" s="142">
        <f t="shared" si="145"/>
        <v>8488</v>
      </c>
      <c r="D294" s="148">
        <f t="shared" si="149"/>
        <v>0</v>
      </c>
      <c r="E294" s="148">
        <f t="shared" si="154"/>
        <v>0</v>
      </c>
      <c r="F294" s="148">
        <f t="shared" si="152"/>
        <v>0</v>
      </c>
      <c r="G294" s="148">
        <f t="shared" ref="G294:J303" si="158">G293</f>
        <v>0</v>
      </c>
      <c r="H294" s="148"/>
      <c r="I294" s="148">
        <f t="shared" si="150"/>
        <v>0</v>
      </c>
      <c r="J294" s="148">
        <f t="shared" si="158"/>
        <v>0</v>
      </c>
      <c r="K294" s="148"/>
      <c r="L294" s="149">
        <f t="shared" si="155"/>
        <v>0</v>
      </c>
      <c r="M294" s="149">
        <f t="shared" si="153"/>
        <v>0</v>
      </c>
    </row>
    <row r="295" spans="2:13">
      <c r="B295" s="137">
        <f t="shared" si="157"/>
        <v>280</v>
      </c>
      <c r="C295" s="142">
        <f t="shared" si="145"/>
        <v>8519</v>
      </c>
      <c r="D295" s="148">
        <f t="shared" si="149"/>
        <v>0</v>
      </c>
      <c r="E295" s="148">
        <f t="shared" si="154"/>
        <v>0</v>
      </c>
      <c r="F295" s="148">
        <f t="shared" si="152"/>
        <v>0</v>
      </c>
      <c r="G295" s="148">
        <f t="shared" si="158"/>
        <v>0</v>
      </c>
      <c r="H295" s="148"/>
      <c r="I295" s="148">
        <f t="shared" si="150"/>
        <v>0</v>
      </c>
      <c r="J295" s="148">
        <f t="shared" si="158"/>
        <v>0</v>
      </c>
      <c r="K295" s="148"/>
      <c r="L295" s="149">
        <f t="shared" si="155"/>
        <v>0</v>
      </c>
      <c r="M295" s="149">
        <f t="shared" si="153"/>
        <v>0</v>
      </c>
    </row>
    <row r="296" spans="2:13">
      <c r="B296" s="137">
        <f t="shared" si="157"/>
        <v>281</v>
      </c>
      <c r="C296" s="142">
        <f t="shared" si="145"/>
        <v>8549</v>
      </c>
      <c r="D296" s="148">
        <f t="shared" si="149"/>
        <v>0</v>
      </c>
      <c r="E296" s="148">
        <f t="shared" si="154"/>
        <v>0</v>
      </c>
      <c r="F296" s="148">
        <f t="shared" si="152"/>
        <v>0</v>
      </c>
      <c r="G296" s="148">
        <f t="shared" si="158"/>
        <v>0</v>
      </c>
      <c r="H296" s="148"/>
      <c r="I296" s="148">
        <f t="shared" si="150"/>
        <v>0</v>
      </c>
      <c r="J296" s="148">
        <f t="shared" si="158"/>
        <v>0</v>
      </c>
      <c r="K296" s="148"/>
      <c r="L296" s="149">
        <f t="shared" si="155"/>
        <v>0</v>
      </c>
      <c r="M296" s="149">
        <f t="shared" si="153"/>
        <v>0</v>
      </c>
    </row>
    <row r="297" spans="2:13">
      <c r="B297" s="137">
        <f t="shared" si="157"/>
        <v>282</v>
      </c>
      <c r="C297" s="142">
        <f t="shared" si="145"/>
        <v>8580</v>
      </c>
      <c r="D297" s="148">
        <f t="shared" si="149"/>
        <v>0</v>
      </c>
      <c r="E297" s="148">
        <f t="shared" si="154"/>
        <v>0</v>
      </c>
      <c r="F297" s="148">
        <f t="shared" si="152"/>
        <v>0</v>
      </c>
      <c r="G297" s="148">
        <f t="shared" si="158"/>
        <v>0</v>
      </c>
      <c r="H297" s="148"/>
      <c r="I297" s="148">
        <f t="shared" si="150"/>
        <v>0</v>
      </c>
      <c r="J297" s="148">
        <f t="shared" si="158"/>
        <v>0</v>
      </c>
      <c r="K297" s="148"/>
      <c r="L297" s="149">
        <f t="shared" si="155"/>
        <v>0</v>
      </c>
      <c r="M297" s="149">
        <f t="shared" si="153"/>
        <v>0</v>
      </c>
    </row>
    <row r="298" spans="2:13">
      <c r="B298" s="137">
        <f t="shared" si="157"/>
        <v>283</v>
      </c>
      <c r="C298" s="142">
        <f t="shared" si="145"/>
        <v>8610</v>
      </c>
      <c r="D298" s="148">
        <f t="shared" si="149"/>
        <v>0</v>
      </c>
      <c r="E298" s="148">
        <f t="shared" si="154"/>
        <v>0</v>
      </c>
      <c r="F298" s="148">
        <f t="shared" si="152"/>
        <v>0</v>
      </c>
      <c r="G298" s="148">
        <f t="shared" si="158"/>
        <v>0</v>
      </c>
      <c r="H298" s="148"/>
      <c r="I298" s="148">
        <f t="shared" si="150"/>
        <v>0</v>
      </c>
      <c r="J298" s="148">
        <f t="shared" si="158"/>
        <v>0</v>
      </c>
      <c r="K298" s="148"/>
      <c r="L298" s="149">
        <f t="shared" si="155"/>
        <v>0</v>
      </c>
      <c r="M298" s="149">
        <f t="shared" si="153"/>
        <v>0</v>
      </c>
    </row>
    <row r="299" spans="2:13">
      <c r="B299" s="137">
        <f t="shared" si="157"/>
        <v>284</v>
      </c>
      <c r="C299" s="142">
        <f t="shared" si="145"/>
        <v>8641</v>
      </c>
      <c r="D299" s="148">
        <f t="shared" si="149"/>
        <v>0</v>
      </c>
      <c r="E299" s="148">
        <f t="shared" si="154"/>
        <v>0</v>
      </c>
      <c r="F299" s="148">
        <f t="shared" si="152"/>
        <v>0</v>
      </c>
      <c r="G299" s="148">
        <f t="shared" si="158"/>
        <v>0</v>
      </c>
      <c r="H299" s="148"/>
      <c r="I299" s="148">
        <f t="shared" si="150"/>
        <v>0</v>
      </c>
      <c r="J299" s="148">
        <f t="shared" si="158"/>
        <v>0</v>
      </c>
      <c r="K299" s="148"/>
      <c r="L299" s="149">
        <f t="shared" si="155"/>
        <v>0</v>
      </c>
      <c r="M299" s="149">
        <f t="shared" si="153"/>
        <v>0</v>
      </c>
    </row>
    <row r="300" spans="2:13">
      <c r="B300" s="137">
        <f t="shared" si="157"/>
        <v>285</v>
      </c>
      <c r="C300" s="142">
        <f t="shared" si="145"/>
        <v>8672</v>
      </c>
      <c r="D300" s="148">
        <f t="shared" si="149"/>
        <v>0</v>
      </c>
      <c r="E300" s="148">
        <f t="shared" si="154"/>
        <v>0</v>
      </c>
      <c r="F300" s="148">
        <f t="shared" si="152"/>
        <v>0</v>
      </c>
      <c r="G300" s="148">
        <f t="shared" si="158"/>
        <v>0</v>
      </c>
      <c r="H300" s="148"/>
      <c r="I300" s="148">
        <f t="shared" si="150"/>
        <v>0</v>
      </c>
      <c r="J300" s="148">
        <f t="shared" si="158"/>
        <v>0</v>
      </c>
      <c r="K300" s="148"/>
      <c r="L300" s="149">
        <f t="shared" si="155"/>
        <v>0</v>
      </c>
      <c r="M300" s="149">
        <f t="shared" si="153"/>
        <v>0</v>
      </c>
    </row>
    <row r="301" spans="2:13">
      <c r="B301" s="137">
        <f t="shared" si="157"/>
        <v>286</v>
      </c>
      <c r="C301" s="142">
        <f t="shared" si="145"/>
        <v>8702</v>
      </c>
      <c r="D301" s="148">
        <f t="shared" si="149"/>
        <v>0</v>
      </c>
      <c r="E301" s="148">
        <f t="shared" si="154"/>
        <v>0</v>
      </c>
      <c r="F301" s="148">
        <f t="shared" si="152"/>
        <v>0</v>
      </c>
      <c r="G301" s="148">
        <f t="shared" si="158"/>
        <v>0</v>
      </c>
      <c r="H301" s="148"/>
      <c r="I301" s="148">
        <f t="shared" si="150"/>
        <v>0</v>
      </c>
      <c r="J301" s="148">
        <f t="shared" si="158"/>
        <v>0</v>
      </c>
      <c r="K301" s="148"/>
      <c r="L301" s="149">
        <f t="shared" si="155"/>
        <v>0</v>
      </c>
      <c r="M301" s="149">
        <f t="shared" si="153"/>
        <v>0</v>
      </c>
    </row>
    <row r="302" spans="2:13">
      <c r="B302" s="137">
        <f t="shared" si="157"/>
        <v>287</v>
      </c>
      <c r="C302" s="142">
        <f t="shared" si="145"/>
        <v>8733</v>
      </c>
      <c r="D302" s="148">
        <f t="shared" si="149"/>
        <v>0</v>
      </c>
      <c r="E302" s="148">
        <f t="shared" si="154"/>
        <v>0</v>
      </c>
      <c r="F302" s="148">
        <f t="shared" si="152"/>
        <v>0</v>
      </c>
      <c r="G302" s="148">
        <f t="shared" si="158"/>
        <v>0</v>
      </c>
      <c r="H302" s="148"/>
      <c r="I302" s="148">
        <f t="shared" si="150"/>
        <v>0</v>
      </c>
      <c r="J302" s="148">
        <f t="shared" si="158"/>
        <v>0</v>
      </c>
      <c r="K302" s="148"/>
      <c r="L302" s="149">
        <f t="shared" si="155"/>
        <v>0</v>
      </c>
      <c r="M302" s="149">
        <f t="shared" si="153"/>
        <v>0</v>
      </c>
    </row>
    <row r="303" spans="2:13">
      <c r="B303" s="137">
        <f t="shared" si="157"/>
        <v>288</v>
      </c>
      <c r="C303" s="142">
        <f t="shared" si="145"/>
        <v>8763</v>
      </c>
      <c r="D303" s="148">
        <f t="shared" si="149"/>
        <v>0</v>
      </c>
      <c r="E303" s="148">
        <f t="shared" si="154"/>
        <v>0</v>
      </c>
      <c r="F303" s="148">
        <f t="shared" si="152"/>
        <v>0</v>
      </c>
      <c r="G303" s="148">
        <f t="shared" si="158"/>
        <v>0</v>
      </c>
      <c r="H303" s="148"/>
      <c r="I303" s="148">
        <f t="shared" si="150"/>
        <v>0</v>
      </c>
      <c r="J303" s="148">
        <f t="shared" si="158"/>
        <v>0</v>
      </c>
      <c r="K303" s="148"/>
      <c r="L303" s="149">
        <f t="shared" si="155"/>
        <v>0</v>
      </c>
      <c r="M303" s="149">
        <f t="shared" si="153"/>
        <v>0</v>
      </c>
    </row>
    <row r="304" spans="2:13">
      <c r="B304" s="137">
        <f t="shared" si="157"/>
        <v>289</v>
      </c>
      <c r="C304" s="142">
        <f t="shared" si="145"/>
        <v>8794</v>
      </c>
      <c r="D304" s="148">
        <f t="shared" si="149"/>
        <v>0</v>
      </c>
      <c r="E304" s="148">
        <f t="shared" si="154"/>
        <v>0</v>
      </c>
      <c r="F304" s="148">
        <f t="shared" si="152"/>
        <v>0</v>
      </c>
      <c r="G304" s="148">
        <f>ROUND(M303*$K$7*YEARFRAC(C303,C304),2)</f>
        <v>0</v>
      </c>
      <c r="H304" s="148"/>
      <c r="I304" s="148">
        <f t="shared" si="150"/>
        <v>0</v>
      </c>
      <c r="J304" s="148">
        <f>ROUND(M315*$K$8*YEARFRAC(C303,C304),2)</f>
        <v>0</v>
      </c>
      <c r="K304" s="148"/>
      <c r="L304" s="149">
        <f t="shared" si="155"/>
        <v>0</v>
      </c>
      <c r="M304" s="149">
        <f t="shared" si="153"/>
        <v>0</v>
      </c>
    </row>
    <row r="305" spans="2:13">
      <c r="B305" s="137">
        <f t="shared" ref="B305:B320" si="159">B304+1</f>
        <v>290</v>
      </c>
      <c r="C305" s="142">
        <f t="shared" si="145"/>
        <v>8825</v>
      </c>
      <c r="D305" s="148">
        <f t="shared" si="149"/>
        <v>0</v>
      </c>
      <c r="E305" s="148">
        <f t="shared" si="154"/>
        <v>0</v>
      </c>
      <c r="F305" s="148">
        <f t="shared" si="152"/>
        <v>0</v>
      </c>
      <c r="G305" s="148">
        <f>G304</f>
        <v>0</v>
      </c>
      <c r="H305" s="148"/>
      <c r="I305" s="148">
        <f t="shared" si="150"/>
        <v>0</v>
      </c>
      <c r="J305" s="148">
        <f>J304</f>
        <v>0</v>
      </c>
      <c r="K305" s="148"/>
      <c r="L305" s="149">
        <f t="shared" si="155"/>
        <v>0</v>
      </c>
      <c r="M305" s="149">
        <f t="shared" si="153"/>
        <v>0</v>
      </c>
    </row>
    <row r="306" spans="2:13">
      <c r="B306" s="137">
        <f t="shared" si="159"/>
        <v>291</v>
      </c>
      <c r="C306" s="142">
        <f t="shared" si="145"/>
        <v>8854</v>
      </c>
      <c r="D306" s="148">
        <f t="shared" si="149"/>
        <v>0</v>
      </c>
      <c r="E306" s="148">
        <f t="shared" si="154"/>
        <v>0</v>
      </c>
      <c r="F306" s="148">
        <f t="shared" si="152"/>
        <v>0</v>
      </c>
      <c r="G306" s="148">
        <f t="shared" ref="G306:J315" si="160">G305</f>
        <v>0</v>
      </c>
      <c r="H306" s="148"/>
      <c r="I306" s="148">
        <f t="shared" si="150"/>
        <v>0</v>
      </c>
      <c r="J306" s="148">
        <f t="shared" si="160"/>
        <v>0</v>
      </c>
      <c r="K306" s="148"/>
      <c r="L306" s="149">
        <f t="shared" si="155"/>
        <v>0</v>
      </c>
      <c r="M306" s="149">
        <f t="shared" si="153"/>
        <v>0</v>
      </c>
    </row>
    <row r="307" spans="2:13">
      <c r="B307" s="137">
        <f t="shared" si="159"/>
        <v>292</v>
      </c>
      <c r="C307" s="142">
        <f t="shared" si="145"/>
        <v>8885</v>
      </c>
      <c r="D307" s="148">
        <f t="shared" si="149"/>
        <v>0</v>
      </c>
      <c r="E307" s="148">
        <f t="shared" si="154"/>
        <v>0</v>
      </c>
      <c r="F307" s="148">
        <f t="shared" si="152"/>
        <v>0</v>
      </c>
      <c r="G307" s="148">
        <f t="shared" si="160"/>
        <v>0</v>
      </c>
      <c r="H307" s="148"/>
      <c r="I307" s="148">
        <f t="shared" si="150"/>
        <v>0</v>
      </c>
      <c r="J307" s="148">
        <f t="shared" si="160"/>
        <v>0</v>
      </c>
      <c r="K307" s="148"/>
      <c r="L307" s="149">
        <f t="shared" si="155"/>
        <v>0</v>
      </c>
      <c r="M307" s="149">
        <f t="shared" si="153"/>
        <v>0</v>
      </c>
    </row>
    <row r="308" spans="2:13">
      <c r="B308" s="137">
        <f t="shared" si="159"/>
        <v>293</v>
      </c>
      <c r="C308" s="142">
        <f t="shared" si="145"/>
        <v>8915</v>
      </c>
      <c r="D308" s="148">
        <f t="shared" si="149"/>
        <v>0</v>
      </c>
      <c r="E308" s="148">
        <f t="shared" si="154"/>
        <v>0</v>
      </c>
      <c r="F308" s="148">
        <f t="shared" si="152"/>
        <v>0</v>
      </c>
      <c r="G308" s="148">
        <f t="shared" si="160"/>
        <v>0</v>
      </c>
      <c r="H308" s="148"/>
      <c r="I308" s="148">
        <f t="shared" si="150"/>
        <v>0</v>
      </c>
      <c r="J308" s="148">
        <f t="shared" si="160"/>
        <v>0</v>
      </c>
      <c r="K308" s="148"/>
      <c r="L308" s="149">
        <f t="shared" si="155"/>
        <v>0</v>
      </c>
      <c r="M308" s="149">
        <f t="shared" si="153"/>
        <v>0</v>
      </c>
    </row>
    <row r="309" spans="2:13">
      <c r="B309" s="137">
        <f t="shared" si="159"/>
        <v>294</v>
      </c>
      <c r="C309" s="142">
        <f t="shared" si="145"/>
        <v>8946</v>
      </c>
      <c r="D309" s="148">
        <f t="shared" si="149"/>
        <v>0</v>
      </c>
      <c r="E309" s="148">
        <f t="shared" si="154"/>
        <v>0</v>
      </c>
      <c r="F309" s="148">
        <f t="shared" si="152"/>
        <v>0</v>
      </c>
      <c r="G309" s="148">
        <f t="shared" si="160"/>
        <v>0</v>
      </c>
      <c r="H309" s="148"/>
      <c r="I309" s="148">
        <f t="shared" si="150"/>
        <v>0</v>
      </c>
      <c r="J309" s="148">
        <f t="shared" si="160"/>
        <v>0</v>
      </c>
      <c r="K309" s="148"/>
      <c r="L309" s="149">
        <f t="shared" si="155"/>
        <v>0</v>
      </c>
      <c r="M309" s="149">
        <f t="shared" si="153"/>
        <v>0</v>
      </c>
    </row>
    <row r="310" spans="2:13">
      <c r="B310" s="137">
        <f t="shared" si="159"/>
        <v>295</v>
      </c>
      <c r="C310" s="142">
        <f t="shared" si="145"/>
        <v>8976</v>
      </c>
      <c r="D310" s="148">
        <f t="shared" si="149"/>
        <v>0</v>
      </c>
      <c r="E310" s="148">
        <f t="shared" si="154"/>
        <v>0</v>
      </c>
      <c r="F310" s="148">
        <f t="shared" si="152"/>
        <v>0</v>
      </c>
      <c r="G310" s="148">
        <f t="shared" si="160"/>
        <v>0</v>
      </c>
      <c r="H310" s="148"/>
      <c r="I310" s="148">
        <f t="shared" si="150"/>
        <v>0</v>
      </c>
      <c r="J310" s="148">
        <f t="shared" si="160"/>
        <v>0</v>
      </c>
      <c r="K310" s="148"/>
      <c r="L310" s="149">
        <f t="shared" si="155"/>
        <v>0</v>
      </c>
      <c r="M310" s="149">
        <f t="shared" si="153"/>
        <v>0</v>
      </c>
    </row>
    <row r="311" spans="2:13">
      <c r="B311" s="137">
        <f t="shared" si="159"/>
        <v>296</v>
      </c>
      <c r="C311" s="142">
        <f t="shared" si="145"/>
        <v>9007</v>
      </c>
      <c r="D311" s="148">
        <f t="shared" si="149"/>
        <v>0</v>
      </c>
      <c r="E311" s="148">
        <f t="shared" si="154"/>
        <v>0</v>
      </c>
      <c r="F311" s="148">
        <f t="shared" si="152"/>
        <v>0</v>
      </c>
      <c r="G311" s="148">
        <f t="shared" si="160"/>
        <v>0</v>
      </c>
      <c r="H311" s="148"/>
      <c r="I311" s="148">
        <f t="shared" si="150"/>
        <v>0</v>
      </c>
      <c r="J311" s="148">
        <f t="shared" si="160"/>
        <v>0</v>
      </c>
      <c r="K311" s="148"/>
      <c r="L311" s="149">
        <f t="shared" si="155"/>
        <v>0</v>
      </c>
      <c r="M311" s="149">
        <f t="shared" si="153"/>
        <v>0</v>
      </c>
    </row>
    <row r="312" spans="2:13">
      <c r="B312" s="137">
        <f t="shared" si="159"/>
        <v>297</v>
      </c>
      <c r="C312" s="142">
        <f t="shared" si="145"/>
        <v>9038</v>
      </c>
      <c r="D312" s="148">
        <f t="shared" si="149"/>
        <v>0</v>
      </c>
      <c r="E312" s="148">
        <f t="shared" si="154"/>
        <v>0</v>
      </c>
      <c r="F312" s="148">
        <f t="shared" si="152"/>
        <v>0</v>
      </c>
      <c r="G312" s="148">
        <f t="shared" si="160"/>
        <v>0</v>
      </c>
      <c r="H312" s="148"/>
      <c r="I312" s="148">
        <f t="shared" si="150"/>
        <v>0</v>
      </c>
      <c r="J312" s="148">
        <f t="shared" si="160"/>
        <v>0</v>
      </c>
      <c r="K312" s="148"/>
      <c r="L312" s="149">
        <f t="shared" si="155"/>
        <v>0</v>
      </c>
      <c r="M312" s="149">
        <f t="shared" si="153"/>
        <v>0</v>
      </c>
    </row>
    <row r="313" spans="2:13">
      <c r="B313" s="137">
        <f t="shared" si="159"/>
        <v>298</v>
      </c>
      <c r="C313" s="142">
        <f t="shared" si="145"/>
        <v>9068</v>
      </c>
      <c r="D313" s="148">
        <f t="shared" si="149"/>
        <v>0</v>
      </c>
      <c r="E313" s="148">
        <f t="shared" si="154"/>
        <v>0</v>
      </c>
      <c r="F313" s="148">
        <f t="shared" si="152"/>
        <v>0</v>
      </c>
      <c r="G313" s="148">
        <f t="shared" si="160"/>
        <v>0</v>
      </c>
      <c r="H313" s="148"/>
      <c r="I313" s="148">
        <f t="shared" si="150"/>
        <v>0</v>
      </c>
      <c r="J313" s="148">
        <f t="shared" si="160"/>
        <v>0</v>
      </c>
      <c r="K313" s="148"/>
      <c r="L313" s="149">
        <f t="shared" si="155"/>
        <v>0</v>
      </c>
      <c r="M313" s="149">
        <f t="shared" si="153"/>
        <v>0</v>
      </c>
    </row>
    <row r="314" spans="2:13">
      <c r="B314" s="137">
        <f t="shared" si="159"/>
        <v>299</v>
      </c>
      <c r="C314" s="142">
        <f t="shared" si="145"/>
        <v>9099</v>
      </c>
      <c r="D314" s="148">
        <f t="shared" si="149"/>
        <v>0</v>
      </c>
      <c r="E314" s="148">
        <f t="shared" si="154"/>
        <v>0</v>
      </c>
      <c r="F314" s="148">
        <f t="shared" si="152"/>
        <v>0</v>
      </c>
      <c r="G314" s="148">
        <f t="shared" si="160"/>
        <v>0</v>
      </c>
      <c r="H314" s="148"/>
      <c r="I314" s="148">
        <f t="shared" si="150"/>
        <v>0</v>
      </c>
      <c r="J314" s="148">
        <f t="shared" si="160"/>
        <v>0</v>
      </c>
      <c r="K314" s="148"/>
      <c r="L314" s="149">
        <f t="shared" si="155"/>
        <v>0</v>
      </c>
      <c r="M314" s="149">
        <f t="shared" si="153"/>
        <v>0</v>
      </c>
    </row>
    <row r="315" spans="2:13">
      <c r="B315" s="137">
        <f t="shared" si="159"/>
        <v>300</v>
      </c>
      <c r="C315" s="142">
        <f t="shared" si="145"/>
        <v>9129</v>
      </c>
      <c r="D315" s="148">
        <f t="shared" si="149"/>
        <v>0</v>
      </c>
      <c r="E315" s="148">
        <f t="shared" si="154"/>
        <v>0</v>
      </c>
      <c r="F315" s="148">
        <f t="shared" si="152"/>
        <v>0</v>
      </c>
      <c r="G315" s="148">
        <f t="shared" si="160"/>
        <v>0</v>
      </c>
      <c r="H315" s="148"/>
      <c r="I315" s="148">
        <f t="shared" si="150"/>
        <v>0</v>
      </c>
      <c r="J315" s="148">
        <f t="shared" si="160"/>
        <v>0</v>
      </c>
      <c r="K315" s="148"/>
      <c r="L315" s="149">
        <f t="shared" si="155"/>
        <v>0</v>
      </c>
      <c r="M315" s="149">
        <f t="shared" si="153"/>
        <v>0</v>
      </c>
    </row>
    <row r="316" spans="2:13">
      <c r="B316" s="137">
        <f t="shared" si="159"/>
        <v>301</v>
      </c>
      <c r="C316" s="142">
        <f t="shared" si="145"/>
        <v>9160</v>
      </c>
      <c r="D316" s="148">
        <f t="shared" si="149"/>
        <v>0</v>
      </c>
      <c r="E316" s="148">
        <f t="shared" si="154"/>
        <v>0</v>
      </c>
      <c r="F316" s="148">
        <f t="shared" si="152"/>
        <v>0</v>
      </c>
      <c r="G316" s="148">
        <f>ROUND(M315*$K$7*YEARFRAC(C315,C316),2)</f>
        <v>0</v>
      </c>
      <c r="H316" s="148"/>
      <c r="I316" s="148">
        <f t="shared" si="150"/>
        <v>0</v>
      </c>
      <c r="J316" s="148">
        <f>ROUND(M327*$K$8*YEARFRAC(C315,C316),2)</f>
        <v>0</v>
      </c>
      <c r="K316" s="148"/>
      <c r="L316" s="149">
        <f t="shared" si="155"/>
        <v>0</v>
      </c>
      <c r="M316" s="149">
        <f t="shared" si="153"/>
        <v>0</v>
      </c>
    </row>
    <row r="317" spans="2:13">
      <c r="B317" s="137">
        <f t="shared" si="159"/>
        <v>302</v>
      </c>
      <c r="C317" s="142">
        <f t="shared" si="145"/>
        <v>9191</v>
      </c>
      <c r="D317" s="148">
        <f t="shared" si="149"/>
        <v>0</v>
      </c>
      <c r="E317" s="148">
        <f t="shared" si="154"/>
        <v>0</v>
      </c>
      <c r="F317" s="148">
        <f t="shared" si="152"/>
        <v>0</v>
      </c>
      <c r="G317" s="148">
        <f>G316</f>
        <v>0</v>
      </c>
      <c r="H317" s="148"/>
      <c r="I317" s="148">
        <f t="shared" si="150"/>
        <v>0</v>
      </c>
      <c r="J317" s="148">
        <f>J316</f>
        <v>0</v>
      </c>
      <c r="K317" s="148"/>
      <c r="L317" s="149">
        <f t="shared" si="155"/>
        <v>0</v>
      </c>
      <c r="M317" s="149">
        <f t="shared" si="153"/>
        <v>0</v>
      </c>
    </row>
    <row r="318" spans="2:13">
      <c r="B318" s="137">
        <f t="shared" si="159"/>
        <v>303</v>
      </c>
      <c r="C318" s="142">
        <f t="shared" si="145"/>
        <v>9219</v>
      </c>
      <c r="D318" s="148">
        <f t="shared" si="149"/>
        <v>0</v>
      </c>
      <c r="E318" s="148">
        <f t="shared" si="154"/>
        <v>0</v>
      </c>
      <c r="F318" s="148">
        <f t="shared" si="152"/>
        <v>0</v>
      </c>
      <c r="G318" s="148">
        <f t="shared" ref="G318:J327" si="161">G317</f>
        <v>0</v>
      </c>
      <c r="H318" s="148"/>
      <c r="I318" s="148">
        <f t="shared" si="150"/>
        <v>0</v>
      </c>
      <c r="J318" s="148">
        <f t="shared" si="161"/>
        <v>0</v>
      </c>
      <c r="K318" s="148"/>
      <c r="L318" s="149">
        <f t="shared" si="155"/>
        <v>0</v>
      </c>
      <c r="M318" s="149">
        <f t="shared" si="153"/>
        <v>0</v>
      </c>
    </row>
    <row r="319" spans="2:13">
      <c r="B319" s="137">
        <f t="shared" si="159"/>
        <v>304</v>
      </c>
      <c r="C319" s="142">
        <f t="shared" si="145"/>
        <v>9250</v>
      </c>
      <c r="D319" s="148">
        <f t="shared" si="149"/>
        <v>0</v>
      </c>
      <c r="E319" s="148">
        <f t="shared" si="154"/>
        <v>0</v>
      </c>
      <c r="F319" s="148">
        <f t="shared" si="152"/>
        <v>0</v>
      </c>
      <c r="G319" s="148">
        <f t="shared" si="161"/>
        <v>0</v>
      </c>
      <c r="H319" s="148"/>
      <c r="I319" s="148">
        <f t="shared" si="150"/>
        <v>0</v>
      </c>
      <c r="J319" s="148">
        <f t="shared" si="161"/>
        <v>0</v>
      </c>
      <c r="K319" s="148"/>
      <c r="L319" s="149">
        <f t="shared" si="155"/>
        <v>0</v>
      </c>
      <c r="M319" s="149">
        <f t="shared" si="153"/>
        <v>0</v>
      </c>
    </row>
    <row r="320" spans="2:13">
      <c r="B320" s="137">
        <f t="shared" si="159"/>
        <v>305</v>
      </c>
      <c r="C320" s="142">
        <f t="shared" ref="C320:C383" si="162">EDATE(C319,1)</f>
        <v>9280</v>
      </c>
      <c r="D320" s="148">
        <f t="shared" si="149"/>
        <v>0</v>
      </c>
      <c r="E320" s="148">
        <f t="shared" si="154"/>
        <v>0</v>
      </c>
      <c r="F320" s="148">
        <f t="shared" si="152"/>
        <v>0</v>
      </c>
      <c r="G320" s="148">
        <f t="shared" si="161"/>
        <v>0</v>
      </c>
      <c r="H320" s="148"/>
      <c r="I320" s="148">
        <f t="shared" si="150"/>
        <v>0</v>
      </c>
      <c r="J320" s="148">
        <f t="shared" si="161"/>
        <v>0</v>
      </c>
      <c r="K320" s="148"/>
      <c r="L320" s="149">
        <f t="shared" si="155"/>
        <v>0</v>
      </c>
      <c r="M320" s="149">
        <f t="shared" si="153"/>
        <v>0</v>
      </c>
    </row>
    <row r="321" spans="2:21">
      <c r="B321" s="137">
        <f t="shared" ref="B321:B336" si="163">B320+1</f>
        <v>306</v>
      </c>
      <c r="C321" s="142">
        <f t="shared" si="162"/>
        <v>9311</v>
      </c>
      <c r="D321" s="148">
        <f t="shared" si="149"/>
        <v>0</v>
      </c>
      <c r="E321" s="148">
        <f t="shared" si="154"/>
        <v>0</v>
      </c>
      <c r="F321" s="148">
        <f t="shared" si="152"/>
        <v>0</v>
      </c>
      <c r="G321" s="148">
        <f t="shared" si="161"/>
        <v>0</v>
      </c>
      <c r="H321" s="148"/>
      <c r="I321" s="148">
        <f t="shared" si="150"/>
        <v>0</v>
      </c>
      <c r="J321" s="148">
        <f t="shared" si="161"/>
        <v>0</v>
      </c>
      <c r="K321" s="148"/>
      <c r="L321" s="149">
        <f t="shared" si="155"/>
        <v>0</v>
      </c>
      <c r="M321" s="149">
        <f t="shared" si="153"/>
        <v>0</v>
      </c>
    </row>
    <row r="322" spans="2:21">
      <c r="B322" s="137">
        <f t="shared" si="163"/>
        <v>307</v>
      </c>
      <c r="C322" s="142">
        <f t="shared" si="162"/>
        <v>9341</v>
      </c>
      <c r="D322" s="148">
        <f t="shared" si="149"/>
        <v>0</v>
      </c>
      <c r="E322" s="148">
        <f t="shared" si="154"/>
        <v>0</v>
      </c>
      <c r="F322" s="148">
        <f t="shared" si="152"/>
        <v>0</v>
      </c>
      <c r="G322" s="148">
        <f t="shared" si="161"/>
        <v>0</v>
      </c>
      <c r="H322" s="148"/>
      <c r="I322" s="148">
        <f t="shared" si="150"/>
        <v>0</v>
      </c>
      <c r="J322" s="148">
        <f t="shared" si="161"/>
        <v>0</v>
      </c>
      <c r="K322" s="148"/>
      <c r="L322" s="149">
        <f t="shared" si="155"/>
        <v>0</v>
      </c>
      <c r="M322" s="149">
        <f t="shared" si="153"/>
        <v>0</v>
      </c>
    </row>
    <row r="323" spans="2:21">
      <c r="B323" s="137">
        <f t="shared" si="163"/>
        <v>308</v>
      </c>
      <c r="C323" s="142">
        <f t="shared" si="162"/>
        <v>9372</v>
      </c>
      <c r="D323" s="148">
        <f t="shared" si="149"/>
        <v>0</v>
      </c>
      <c r="E323" s="148">
        <f t="shared" si="154"/>
        <v>0</v>
      </c>
      <c r="F323" s="148">
        <f t="shared" si="152"/>
        <v>0</v>
      </c>
      <c r="G323" s="148">
        <f t="shared" si="161"/>
        <v>0</v>
      </c>
      <c r="H323" s="148"/>
      <c r="I323" s="148">
        <f t="shared" si="150"/>
        <v>0</v>
      </c>
      <c r="J323" s="148">
        <f t="shared" si="161"/>
        <v>0</v>
      </c>
      <c r="K323" s="148"/>
      <c r="L323" s="149">
        <f t="shared" si="155"/>
        <v>0</v>
      </c>
      <c r="M323" s="149">
        <f t="shared" si="153"/>
        <v>0</v>
      </c>
    </row>
    <row r="324" spans="2:21">
      <c r="B324" s="137">
        <f t="shared" si="163"/>
        <v>309</v>
      </c>
      <c r="C324" s="142">
        <f t="shared" si="162"/>
        <v>9403</v>
      </c>
      <c r="D324" s="148">
        <f t="shared" si="149"/>
        <v>0</v>
      </c>
      <c r="E324" s="148">
        <f t="shared" si="154"/>
        <v>0</v>
      </c>
      <c r="F324" s="148">
        <f t="shared" si="152"/>
        <v>0</v>
      </c>
      <c r="G324" s="148">
        <f t="shared" si="161"/>
        <v>0</v>
      </c>
      <c r="H324" s="148"/>
      <c r="I324" s="148">
        <f t="shared" si="150"/>
        <v>0</v>
      </c>
      <c r="J324" s="148">
        <f t="shared" si="161"/>
        <v>0</v>
      </c>
      <c r="K324" s="148"/>
      <c r="L324" s="149">
        <f t="shared" si="155"/>
        <v>0</v>
      </c>
      <c r="M324" s="149">
        <f t="shared" si="153"/>
        <v>0</v>
      </c>
    </row>
    <row r="325" spans="2:21">
      <c r="B325" s="137">
        <f t="shared" si="163"/>
        <v>310</v>
      </c>
      <c r="C325" s="142">
        <f t="shared" si="162"/>
        <v>9433</v>
      </c>
      <c r="D325" s="148">
        <f t="shared" si="149"/>
        <v>0</v>
      </c>
      <c r="E325" s="148">
        <f t="shared" si="154"/>
        <v>0</v>
      </c>
      <c r="F325" s="148">
        <f t="shared" si="152"/>
        <v>0</v>
      </c>
      <c r="G325" s="148">
        <f t="shared" si="161"/>
        <v>0</v>
      </c>
      <c r="H325" s="148"/>
      <c r="I325" s="148">
        <f t="shared" si="150"/>
        <v>0</v>
      </c>
      <c r="J325" s="148">
        <f t="shared" si="161"/>
        <v>0</v>
      </c>
      <c r="K325" s="148"/>
      <c r="L325" s="149">
        <f t="shared" si="155"/>
        <v>0</v>
      </c>
      <c r="M325" s="149">
        <f t="shared" si="153"/>
        <v>0</v>
      </c>
    </row>
    <row r="326" spans="2:21">
      <c r="B326" s="137">
        <f t="shared" si="163"/>
        <v>311</v>
      </c>
      <c r="C326" s="142">
        <f t="shared" si="162"/>
        <v>9464</v>
      </c>
      <c r="D326" s="148">
        <f t="shared" si="149"/>
        <v>0</v>
      </c>
      <c r="E326" s="148">
        <f t="shared" si="154"/>
        <v>0</v>
      </c>
      <c r="F326" s="148">
        <f t="shared" si="152"/>
        <v>0</v>
      </c>
      <c r="G326" s="148">
        <f t="shared" si="161"/>
        <v>0</v>
      </c>
      <c r="H326" s="148"/>
      <c r="I326" s="148">
        <f t="shared" si="150"/>
        <v>0</v>
      </c>
      <c r="J326" s="148">
        <f t="shared" si="161"/>
        <v>0</v>
      </c>
      <c r="K326" s="148"/>
      <c r="L326" s="149">
        <f t="shared" si="155"/>
        <v>0</v>
      </c>
      <c r="M326" s="149">
        <f t="shared" si="153"/>
        <v>0</v>
      </c>
    </row>
    <row r="327" spans="2:21">
      <c r="B327" s="137">
        <f t="shared" si="163"/>
        <v>312</v>
      </c>
      <c r="C327" s="142">
        <f t="shared" si="162"/>
        <v>9494</v>
      </c>
      <c r="D327" s="148">
        <f t="shared" si="149"/>
        <v>0</v>
      </c>
      <c r="E327" s="148">
        <f t="shared" si="154"/>
        <v>0</v>
      </c>
      <c r="F327" s="148">
        <f t="shared" si="152"/>
        <v>0</v>
      </c>
      <c r="G327" s="148">
        <f t="shared" si="161"/>
        <v>0</v>
      </c>
      <c r="H327" s="148"/>
      <c r="I327" s="148">
        <f t="shared" si="150"/>
        <v>0</v>
      </c>
      <c r="J327" s="148">
        <f t="shared" si="161"/>
        <v>0</v>
      </c>
      <c r="K327" s="148"/>
      <c r="L327" s="149">
        <f t="shared" si="155"/>
        <v>0</v>
      </c>
      <c r="M327" s="149">
        <f t="shared" si="153"/>
        <v>0</v>
      </c>
    </row>
    <row r="328" spans="2:21">
      <c r="B328" s="137">
        <f t="shared" si="163"/>
        <v>313</v>
      </c>
      <c r="C328" s="142">
        <f t="shared" si="162"/>
        <v>9525</v>
      </c>
      <c r="D328" s="148">
        <f t="shared" si="149"/>
        <v>0</v>
      </c>
      <c r="E328" s="148">
        <f t="shared" si="154"/>
        <v>0</v>
      </c>
      <c r="F328" s="148">
        <f t="shared" si="152"/>
        <v>0</v>
      </c>
      <c r="G328" s="148">
        <f>ROUND(M327*$K$7*YEARFRAC(C327,C328),2)</f>
        <v>0</v>
      </c>
      <c r="H328" s="148"/>
      <c r="I328" s="148">
        <f t="shared" si="150"/>
        <v>0</v>
      </c>
      <c r="J328" s="148">
        <f>ROUND(M339*$K$8*YEARFRAC(C327,C328),2)</f>
        <v>0</v>
      </c>
      <c r="K328" s="148"/>
      <c r="L328" s="149">
        <f t="shared" si="155"/>
        <v>0</v>
      </c>
      <c r="M328" s="149">
        <f t="shared" si="153"/>
        <v>0</v>
      </c>
    </row>
    <row r="329" spans="2:21">
      <c r="B329" s="137">
        <f t="shared" si="163"/>
        <v>314</v>
      </c>
      <c r="C329" s="142">
        <f t="shared" si="162"/>
        <v>9556</v>
      </c>
      <c r="D329" s="148">
        <f t="shared" si="149"/>
        <v>0</v>
      </c>
      <c r="E329" s="148">
        <f t="shared" si="154"/>
        <v>0</v>
      </c>
      <c r="F329" s="148">
        <f t="shared" si="152"/>
        <v>0</v>
      </c>
      <c r="G329" s="148">
        <f>G328</f>
        <v>0</v>
      </c>
      <c r="H329" s="148"/>
      <c r="I329" s="148">
        <f t="shared" si="150"/>
        <v>0</v>
      </c>
      <c r="J329" s="148">
        <f>J328</f>
        <v>0</v>
      </c>
      <c r="K329" s="148"/>
      <c r="L329" s="149">
        <f t="shared" si="155"/>
        <v>0</v>
      </c>
      <c r="M329" s="149">
        <f t="shared" si="153"/>
        <v>0</v>
      </c>
    </row>
    <row r="330" spans="2:21">
      <c r="B330" s="137">
        <f t="shared" si="163"/>
        <v>315</v>
      </c>
      <c r="C330" s="142">
        <f t="shared" si="162"/>
        <v>9584</v>
      </c>
      <c r="D330" s="148">
        <f t="shared" si="149"/>
        <v>0</v>
      </c>
      <c r="E330" s="148">
        <f t="shared" si="154"/>
        <v>0</v>
      </c>
      <c r="F330" s="148">
        <f t="shared" si="152"/>
        <v>0</v>
      </c>
      <c r="G330" s="148">
        <f t="shared" ref="G330:J339" si="164">G329</f>
        <v>0</v>
      </c>
      <c r="H330" s="148"/>
      <c r="I330" s="148">
        <f t="shared" si="150"/>
        <v>0</v>
      </c>
      <c r="J330" s="148">
        <f t="shared" si="164"/>
        <v>0</v>
      </c>
      <c r="K330" s="148"/>
      <c r="L330" s="149">
        <f t="shared" si="155"/>
        <v>0</v>
      </c>
      <c r="M330" s="149">
        <f t="shared" si="153"/>
        <v>0</v>
      </c>
    </row>
    <row r="331" spans="2:21">
      <c r="B331" s="137">
        <f t="shared" si="163"/>
        <v>316</v>
      </c>
      <c r="C331" s="142">
        <f t="shared" si="162"/>
        <v>9615</v>
      </c>
      <c r="D331" s="148">
        <f t="shared" si="149"/>
        <v>0</v>
      </c>
      <c r="E331" s="148">
        <f t="shared" si="154"/>
        <v>0</v>
      </c>
      <c r="F331" s="148">
        <f t="shared" si="152"/>
        <v>0</v>
      </c>
      <c r="G331" s="148">
        <f t="shared" si="164"/>
        <v>0</v>
      </c>
      <c r="H331" s="148"/>
      <c r="I331" s="148">
        <f t="shared" si="150"/>
        <v>0</v>
      </c>
      <c r="J331" s="148">
        <f t="shared" si="164"/>
        <v>0</v>
      </c>
      <c r="K331" s="148"/>
      <c r="L331" s="149">
        <f t="shared" si="155"/>
        <v>0</v>
      </c>
      <c r="M331" s="149">
        <f t="shared" si="153"/>
        <v>0</v>
      </c>
    </row>
    <row r="332" spans="2:21">
      <c r="B332" s="137">
        <f t="shared" si="163"/>
        <v>317</v>
      </c>
      <c r="C332" s="142">
        <f t="shared" si="162"/>
        <v>9645</v>
      </c>
      <c r="D332" s="148">
        <f t="shared" si="149"/>
        <v>0</v>
      </c>
      <c r="E332" s="148">
        <f t="shared" si="154"/>
        <v>0</v>
      </c>
      <c r="F332" s="148">
        <f t="shared" si="152"/>
        <v>0</v>
      </c>
      <c r="G332" s="148">
        <f t="shared" si="164"/>
        <v>0</v>
      </c>
      <c r="H332" s="148"/>
      <c r="I332" s="148">
        <f t="shared" si="150"/>
        <v>0</v>
      </c>
      <c r="J332" s="148">
        <f t="shared" si="164"/>
        <v>0</v>
      </c>
      <c r="K332" s="148"/>
      <c r="L332" s="149">
        <f t="shared" si="155"/>
        <v>0</v>
      </c>
      <c r="M332" s="149">
        <f t="shared" si="153"/>
        <v>0</v>
      </c>
    </row>
    <row r="333" spans="2:21">
      <c r="B333" s="137">
        <f t="shared" si="163"/>
        <v>318</v>
      </c>
      <c r="C333" s="142">
        <f t="shared" si="162"/>
        <v>9676</v>
      </c>
      <c r="D333" s="148">
        <f t="shared" si="149"/>
        <v>0</v>
      </c>
      <c r="E333" s="148">
        <f t="shared" si="154"/>
        <v>0</v>
      </c>
      <c r="F333" s="148">
        <f t="shared" si="152"/>
        <v>0</v>
      </c>
      <c r="G333" s="148">
        <f t="shared" si="164"/>
        <v>0</v>
      </c>
      <c r="H333" s="148"/>
      <c r="I333" s="148">
        <f t="shared" si="150"/>
        <v>0</v>
      </c>
      <c r="J333" s="148">
        <f t="shared" si="164"/>
        <v>0</v>
      </c>
      <c r="K333" s="148"/>
      <c r="L333" s="149">
        <f t="shared" si="155"/>
        <v>0</v>
      </c>
      <c r="M333" s="149">
        <f t="shared" si="153"/>
        <v>0</v>
      </c>
    </row>
    <row r="334" spans="2:21" ht="14.25" customHeight="1">
      <c r="B334" s="137">
        <f t="shared" si="163"/>
        <v>319</v>
      </c>
      <c r="C334" s="142">
        <f t="shared" si="162"/>
        <v>9706</v>
      </c>
      <c r="D334" s="148">
        <f t="shared" si="149"/>
        <v>0</v>
      </c>
      <c r="E334" s="148">
        <f t="shared" si="154"/>
        <v>0</v>
      </c>
      <c r="F334" s="148">
        <f t="shared" si="152"/>
        <v>0</v>
      </c>
      <c r="G334" s="148">
        <f t="shared" si="164"/>
        <v>0</v>
      </c>
      <c r="H334" s="148"/>
      <c r="I334" s="148">
        <f t="shared" si="150"/>
        <v>0</v>
      </c>
      <c r="J334" s="148">
        <f t="shared" si="164"/>
        <v>0</v>
      </c>
      <c r="K334" s="148"/>
      <c r="L334" s="149">
        <f t="shared" si="155"/>
        <v>0</v>
      </c>
      <c r="M334" s="149">
        <f t="shared" si="153"/>
        <v>0</v>
      </c>
    </row>
    <row r="335" spans="2:21" ht="15.75" customHeight="1">
      <c r="B335" s="137">
        <f t="shared" si="163"/>
        <v>320</v>
      </c>
      <c r="C335" s="142">
        <f t="shared" si="162"/>
        <v>9737</v>
      </c>
      <c r="D335" s="148">
        <f t="shared" si="149"/>
        <v>0</v>
      </c>
      <c r="E335" s="148">
        <f t="shared" si="154"/>
        <v>0</v>
      </c>
      <c r="F335" s="148">
        <f t="shared" si="152"/>
        <v>0</v>
      </c>
      <c r="G335" s="148">
        <f t="shared" si="164"/>
        <v>0</v>
      </c>
      <c r="H335" s="148"/>
      <c r="I335" s="148">
        <f t="shared" si="150"/>
        <v>0</v>
      </c>
      <c r="J335" s="148">
        <f t="shared" si="164"/>
        <v>0</v>
      </c>
      <c r="K335" s="148"/>
      <c r="L335" s="149">
        <f t="shared" si="155"/>
        <v>0</v>
      </c>
      <c r="M335" s="149">
        <f t="shared" si="153"/>
        <v>0</v>
      </c>
      <c r="N335" s="1008"/>
      <c r="O335" s="1009"/>
      <c r="P335" s="1009"/>
      <c r="Q335" s="1009"/>
      <c r="R335" s="1009"/>
      <c r="S335" s="1009"/>
      <c r="T335" s="1009"/>
      <c r="U335" s="1008"/>
    </row>
    <row r="336" spans="2:21">
      <c r="B336" s="137">
        <f t="shared" si="163"/>
        <v>321</v>
      </c>
      <c r="C336" s="142">
        <f t="shared" si="162"/>
        <v>9768</v>
      </c>
      <c r="D336" s="148">
        <f t="shared" ref="D336:D399" si="165">IF(B336=($C$7*12),M335,IF(B336&gt;($C$7*12),0,PPMT($K$5/12,B336,$C$9*12,-$C$5)))</f>
        <v>0</v>
      </c>
      <c r="E336" s="148">
        <f t="shared" si="154"/>
        <v>0</v>
      </c>
      <c r="F336" s="148">
        <f t="shared" si="152"/>
        <v>0</v>
      </c>
      <c r="G336" s="148">
        <f t="shared" si="164"/>
        <v>0</v>
      </c>
      <c r="H336" s="148"/>
      <c r="I336" s="148">
        <f t="shared" ref="I336:I399" si="166">ROUND($K$6*(M336+2*E338+2*G338),2)/12</f>
        <v>0</v>
      </c>
      <c r="J336" s="148">
        <f t="shared" si="164"/>
        <v>0</v>
      </c>
      <c r="K336" s="148"/>
      <c r="L336" s="149">
        <f t="shared" si="155"/>
        <v>0</v>
      </c>
      <c r="M336" s="149">
        <f t="shared" si="153"/>
        <v>0</v>
      </c>
      <c r="N336" s="1008"/>
      <c r="O336" s="1009"/>
      <c r="P336" s="1009"/>
      <c r="Q336" s="1009"/>
      <c r="R336" s="1009"/>
      <c r="S336" s="1009"/>
      <c r="T336" s="1009"/>
      <c r="U336" s="1008"/>
    </row>
    <row r="337" spans="2:17">
      <c r="B337" s="137">
        <f t="shared" ref="B337:B352" si="167">B336+1</f>
        <v>322</v>
      </c>
      <c r="C337" s="142">
        <f t="shared" si="162"/>
        <v>9798</v>
      </c>
      <c r="D337" s="148">
        <f t="shared" si="165"/>
        <v>0</v>
      </c>
      <c r="E337" s="148">
        <f t="shared" si="154"/>
        <v>0</v>
      </c>
      <c r="F337" s="148">
        <f t="shared" ref="F337:F400" si="168">SUM(D337:E337)</f>
        <v>0</v>
      </c>
      <c r="G337" s="148">
        <f t="shared" si="164"/>
        <v>0</v>
      </c>
      <c r="H337" s="148"/>
      <c r="I337" s="148">
        <f t="shared" si="166"/>
        <v>0</v>
      </c>
      <c r="J337" s="148">
        <f t="shared" si="164"/>
        <v>0</v>
      </c>
      <c r="K337" s="148"/>
      <c r="L337" s="149">
        <f t="shared" si="155"/>
        <v>0</v>
      </c>
      <c r="M337" s="149">
        <f t="shared" ref="M337:M375" si="169">+M336-D337</f>
        <v>0</v>
      </c>
    </row>
    <row r="338" spans="2:17">
      <c r="B338" s="137">
        <f t="shared" si="167"/>
        <v>323</v>
      </c>
      <c r="C338" s="142">
        <f t="shared" si="162"/>
        <v>9829</v>
      </c>
      <c r="D338" s="148">
        <f t="shared" si="165"/>
        <v>0</v>
      </c>
      <c r="E338" s="148">
        <f t="shared" ref="E338:E401" si="170">($K$5)/12*M337</f>
        <v>0</v>
      </c>
      <c r="F338" s="148">
        <f t="shared" si="168"/>
        <v>0</v>
      </c>
      <c r="G338" s="148">
        <f t="shared" si="164"/>
        <v>0</v>
      </c>
      <c r="H338" s="148"/>
      <c r="I338" s="148">
        <f t="shared" si="166"/>
        <v>0</v>
      </c>
      <c r="J338" s="148">
        <f t="shared" si="164"/>
        <v>0</v>
      </c>
      <c r="K338" s="148"/>
      <c r="L338" s="149">
        <f t="shared" ref="L338:L401" si="171">SUM(F338:J338)</f>
        <v>0</v>
      </c>
      <c r="M338" s="149">
        <f t="shared" si="169"/>
        <v>0</v>
      </c>
      <c r="N338" s="1010"/>
      <c r="O338" s="1011"/>
      <c r="P338" s="1012"/>
      <c r="Q338" s="1012"/>
    </row>
    <row r="339" spans="2:17">
      <c r="B339" s="137">
        <f t="shared" si="167"/>
        <v>324</v>
      </c>
      <c r="C339" s="142">
        <f t="shared" si="162"/>
        <v>9859</v>
      </c>
      <c r="D339" s="148">
        <f t="shared" si="165"/>
        <v>0</v>
      </c>
      <c r="E339" s="148">
        <f t="shared" si="170"/>
        <v>0</v>
      </c>
      <c r="F339" s="148">
        <f t="shared" si="168"/>
        <v>0</v>
      </c>
      <c r="G339" s="148">
        <f t="shared" si="164"/>
        <v>0</v>
      </c>
      <c r="H339" s="148"/>
      <c r="I339" s="148">
        <f t="shared" si="166"/>
        <v>0</v>
      </c>
      <c r="J339" s="148">
        <f t="shared" si="164"/>
        <v>0</v>
      </c>
      <c r="K339" s="148"/>
      <c r="L339" s="149">
        <f t="shared" si="171"/>
        <v>0</v>
      </c>
      <c r="M339" s="149">
        <f t="shared" si="169"/>
        <v>0</v>
      </c>
      <c r="N339" s="1113"/>
      <c r="O339" s="1113"/>
      <c r="P339" s="1113"/>
    </row>
    <row r="340" spans="2:17">
      <c r="B340" s="137">
        <f t="shared" si="167"/>
        <v>325</v>
      </c>
      <c r="C340" s="142">
        <f t="shared" si="162"/>
        <v>9890</v>
      </c>
      <c r="D340" s="148">
        <f t="shared" si="165"/>
        <v>0</v>
      </c>
      <c r="E340" s="148">
        <f t="shared" si="170"/>
        <v>0</v>
      </c>
      <c r="F340" s="148">
        <f t="shared" si="168"/>
        <v>0</v>
      </c>
      <c r="G340" s="148">
        <f>ROUND(M339*$K$7*YEARFRAC(C339,C340),2)</f>
        <v>0</v>
      </c>
      <c r="H340" s="148"/>
      <c r="I340" s="148">
        <f t="shared" si="166"/>
        <v>0</v>
      </c>
      <c r="J340" s="148">
        <f>ROUND(M351*$K$8*YEARFRAC(C339,C340),2)</f>
        <v>0</v>
      </c>
      <c r="K340" s="148"/>
      <c r="L340" s="149">
        <f t="shared" si="171"/>
        <v>0</v>
      </c>
      <c r="M340" s="149">
        <f t="shared" si="169"/>
        <v>0</v>
      </c>
    </row>
    <row r="341" spans="2:17">
      <c r="B341" s="137">
        <f t="shared" si="167"/>
        <v>326</v>
      </c>
      <c r="C341" s="142">
        <f t="shared" si="162"/>
        <v>9921</v>
      </c>
      <c r="D341" s="148">
        <f t="shared" si="165"/>
        <v>0</v>
      </c>
      <c r="E341" s="148">
        <f t="shared" si="170"/>
        <v>0</v>
      </c>
      <c r="F341" s="148">
        <f t="shared" si="168"/>
        <v>0</v>
      </c>
      <c r="G341" s="148">
        <f>G340</f>
        <v>0</v>
      </c>
      <c r="H341" s="148"/>
      <c r="I341" s="148">
        <f t="shared" si="166"/>
        <v>0</v>
      </c>
      <c r="J341" s="148">
        <f>J340</f>
        <v>0</v>
      </c>
      <c r="K341" s="148"/>
      <c r="L341" s="149">
        <f t="shared" si="171"/>
        <v>0</v>
      </c>
      <c r="M341" s="149">
        <f t="shared" si="169"/>
        <v>0</v>
      </c>
    </row>
    <row r="342" spans="2:17">
      <c r="B342" s="137">
        <f t="shared" si="167"/>
        <v>327</v>
      </c>
      <c r="C342" s="142">
        <f t="shared" si="162"/>
        <v>9949</v>
      </c>
      <c r="D342" s="148">
        <f t="shared" si="165"/>
        <v>0</v>
      </c>
      <c r="E342" s="148">
        <f t="shared" si="170"/>
        <v>0</v>
      </c>
      <c r="F342" s="148">
        <f t="shared" si="168"/>
        <v>0</v>
      </c>
      <c r="G342" s="148">
        <f t="shared" ref="G342:J351" si="172">G341</f>
        <v>0</v>
      </c>
      <c r="H342" s="148"/>
      <c r="I342" s="148">
        <f t="shared" si="166"/>
        <v>0</v>
      </c>
      <c r="J342" s="148">
        <f t="shared" si="172"/>
        <v>0</v>
      </c>
      <c r="K342" s="148"/>
      <c r="L342" s="149">
        <f t="shared" si="171"/>
        <v>0</v>
      </c>
      <c r="M342" s="149">
        <f t="shared" si="169"/>
        <v>0</v>
      </c>
    </row>
    <row r="343" spans="2:17">
      <c r="B343" s="137">
        <f t="shared" si="167"/>
        <v>328</v>
      </c>
      <c r="C343" s="142">
        <f t="shared" si="162"/>
        <v>9980</v>
      </c>
      <c r="D343" s="148">
        <f t="shared" si="165"/>
        <v>0</v>
      </c>
      <c r="E343" s="148">
        <f t="shared" si="170"/>
        <v>0</v>
      </c>
      <c r="F343" s="148">
        <f t="shared" si="168"/>
        <v>0</v>
      </c>
      <c r="G343" s="148">
        <f t="shared" si="172"/>
        <v>0</v>
      </c>
      <c r="H343" s="148"/>
      <c r="I343" s="148">
        <f t="shared" si="166"/>
        <v>0</v>
      </c>
      <c r="J343" s="148">
        <f t="shared" si="172"/>
        <v>0</v>
      </c>
      <c r="K343" s="148"/>
      <c r="L343" s="149">
        <f t="shared" si="171"/>
        <v>0</v>
      </c>
      <c r="M343" s="149">
        <f t="shared" si="169"/>
        <v>0</v>
      </c>
    </row>
    <row r="344" spans="2:17">
      <c r="B344" s="137">
        <f t="shared" si="167"/>
        <v>329</v>
      </c>
      <c r="C344" s="142">
        <f t="shared" si="162"/>
        <v>10010</v>
      </c>
      <c r="D344" s="148">
        <f t="shared" si="165"/>
        <v>0</v>
      </c>
      <c r="E344" s="148">
        <f t="shared" si="170"/>
        <v>0</v>
      </c>
      <c r="F344" s="148">
        <f t="shared" si="168"/>
        <v>0</v>
      </c>
      <c r="G344" s="148">
        <f t="shared" si="172"/>
        <v>0</v>
      </c>
      <c r="H344" s="148"/>
      <c r="I344" s="148">
        <f t="shared" si="166"/>
        <v>0</v>
      </c>
      <c r="J344" s="148">
        <f t="shared" si="172"/>
        <v>0</v>
      </c>
      <c r="K344" s="148"/>
      <c r="L344" s="149">
        <f t="shared" si="171"/>
        <v>0</v>
      </c>
      <c r="M344" s="149">
        <f t="shared" si="169"/>
        <v>0</v>
      </c>
    </row>
    <row r="345" spans="2:17">
      <c r="B345" s="137">
        <f t="shared" si="167"/>
        <v>330</v>
      </c>
      <c r="C345" s="142">
        <f t="shared" si="162"/>
        <v>10041</v>
      </c>
      <c r="D345" s="148">
        <f t="shared" si="165"/>
        <v>0</v>
      </c>
      <c r="E345" s="148">
        <f t="shared" si="170"/>
        <v>0</v>
      </c>
      <c r="F345" s="148">
        <f t="shared" si="168"/>
        <v>0</v>
      </c>
      <c r="G345" s="148">
        <f t="shared" si="172"/>
        <v>0</v>
      </c>
      <c r="H345" s="148"/>
      <c r="I345" s="148">
        <f t="shared" si="166"/>
        <v>0</v>
      </c>
      <c r="J345" s="148">
        <f t="shared" si="172"/>
        <v>0</v>
      </c>
      <c r="K345" s="148"/>
      <c r="L345" s="149">
        <f t="shared" si="171"/>
        <v>0</v>
      </c>
      <c r="M345" s="149">
        <f t="shared" si="169"/>
        <v>0</v>
      </c>
    </row>
    <row r="346" spans="2:17">
      <c r="B346" s="137">
        <f t="shared" si="167"/>
        <v>331</v>
      </c>
      <c r="C346" s="142">
        <f t="shared" si="162"/>
        <v>10071</v>
      </c>
      <c r="D346" s="148">
        <f t="shared" si="165"/>
        <v>0</v>
      </c>
      <c r="E346" s="148">
        <f t="shared" si="170"/>
        <v>0</v>
      </c>
      <c r="F346" s="148">
        <f t="shared" si="168"/>
        <v>0</v>
      </c>
      <c r="G346" s="148">
        <f t="shared" si="172"/>
        <v>0</v>
      </c>
      <c r="H346" s="148"/>
      <c r="I346" s="148">
        <f t="shared" si="166"/>
        <v>0</v>
      </c>
      <c r="J346" s="148">
        <f t="shared" si="172"/>
        <v>0</v>
      </c>
      <c r="K346" s="148"/>
      <c r="L346" s="149">
        <f t="shared" si="171"/>
        <v>0</v>
      </c>
      <c r="M346" s="149">
        <f t="shared" si="169"/>
        <v>0</v>
      </c>
    </row>
    <row r="347" spans="2:17">
      <c r="B347" s="137">
        <f t="shared" si="167"/>
        <v>332</v>
      </c>
      <c r="C347" s="142">
        <f t="shared" si="162"/>
        <v>10102</v>
      </c>
      <c r="D347" s="148">
        <f t="shared" si="165"/>
        <v>0</v>
      </c>
      <c r="E347" s="148">
        <f t="shared" si="170"/>
        <v>0</v>
      </c>
      <c r="F347" s="148">
        <f t="shared" si="168"/>
        <v>0</v>
      </c>
      <c r="G347" s="148">
        <f t="shared" si="172"/>
        <v>0</v>
      </c>
      <c r="H347" s="148"/>
      <c r="I347" s="148">
        <f t="shared" si="166"/>
        <v>0</v>
      </c>
      <c r="J347" s="148">
        <f t="shared" si="172"/>
        <v>0</v>
      </c>
      <c r="K347" s="148"/>
      <c r="L347" s="149">
        <f t="shared" si="171"/>
        <v>0</v>
      </c>
      <c r="M347" s="149">
        <f t="shared" si="169"/>
        <v>0</v>
      </c>
    </row>
    <row r="348" spans="2:17">
      <c r="B348" s="137">
        <f t="shared" si="167"/>
        <v>333</v>
      </c>
      <c r="C348" s="142">
        <f t="shared" si="162"/>
        <v>10133</v>
      </c>
      <c r="D348" s="148">
        <f t="shared" si="165"/>
        <v>0</v>
      </c>
      <c r="E348" s="148">
        <f t="shared" si="170"/>
        <v>0</v>
      </c>
      <c r="F348" s="148">
        <f t="shared" si="168"/>
        <v>0</v>
      </c>
      <c r="G348" s="148">
        <f t="shared" si="172"/>
        <v>0</v>
      </c>
      <c r="H348" s="148"/>
      <c r="I348" s="148">
        <f t="shared" si="166"/>
        <v>0</v>
      </c>
      <c r="J348" s="148">
        <f t="shared" si="172"/>
        <v>0</v>
      </c>
      <c r="K348" s="148"/>
      <c r="L348" s="149">
        <f t="shared" si="171"/>
        <v>0</v>
      </c>
      <c r="M348" s="149">
        <f t="shared" si="169"/>
        <v>0</v>
      </c>
    </row>
    <row r="349" spans="2:17">
      <c r="B349" s="137">
        <f t="shared" si="167"/>
        <v>334</v>
      </c>
      <c r="C349" s="142">
        <f t="shared" si="162"/>
        <v>10163</v>
      </c>
      <c r="D349" s="148">
        <f t="shared" si="165"/>
        <v>0</v>
      </c>
      <c r="E349" s="148">
        <f t="shared" si="170"/>
        <v>0</v>
      </c>
      <c r="F349" s="148">
        <f t="shared" si="168"/>
        <v>0</v>
      </c>
      <c r="G349" s="148">
        <f t="shared" si="172"/>
        <v>0</v>
      </c>
      <c r="H349" s="148"/>
      <c r="I349" s="148">
        <f t="shared" si="166"/>
        <v>0</v>
      </c>
      <c r="J349" s="148">
        <f t="shared" si="172"/>
        <v>0</v>
      </c>
      <c r="K349" s="148"/>
      <c r="L349" s="149">
        <f t="shared" si="171"/>
        <v>0</v>
      </c>
      <c r="M349" s="149">
        <f t="shared" si="169"/>
        <v>0</v>
      </c>
    </row>
    <row r="350" spans="2:17">
      <c r="B350" s="137">
        <f t="shared" si="167"/>
        <v>335</v>
      </c>
      <c r="C350" s="142">
        <f t="shared" si="162"/>
        <v>10194</v>
      </c>
      <c r="D350" s="148">
        <f t="shared" si="165"/>
        <v>0</v>
      </c>
      <c r="E350" s="148">
        <f t="shared" si="170"/>
        <v>0</v>
      </c>
      <c r="F350" s="148">
        <f t="shared" si="168"/>
        <v>0</v>
      </c>
      <c r="G350" s="148">
        <f t="shared" si="172"/>
        <v>0</v>
      </c>
      <c r="H350" s="148"/>
      <c r="I350" s="148">
        <f t="shared" si="166"/>
        <v>0</v>
      </c>
      <c r="J350" s="148">
        <f t="shared" si="172"/>
        <v>0</v>
      </c>
      <c r="K350" s="148"/>
      <c r="L350" s="149">
        <f t="shared" si="171"/>
        <v>0</v>
      </c>
      <c r="M350" s="149">
        <f t="shared" si="169"/>
        <v>0</v>
      </c>
    </row>
    <row r="351" spans="2:17">
      <c r="B351" s="137">
        <f t="shared" si="167"/>
        <v>336</v>
      </c>
      <c r="C351" s="142">
        <f t="shared" si="162"/>
        <v>10224</v>
      </c>
      <c r="D351" s="148">
        <f t="shared" si="165"/>
        <v>0</v>
      </c>
      <c r="E351" s="148">
        <f t="shared" si="170"/>
        <v>0</v>
      </c>
      <c r="F351" s="148">
        <f t="shared" si="168"/>
        <v>0</v>
      </c>
      <c r="G351" s="148">
        <f t="shared" si="172"/>
        <v>0</v>
      </c>
      <c r="H351" s="148"/>
      <c r="I351" s="148">
        <f t="shared" si="166"/>
        <v>0</v>
      </c>
      <c r="J351" s="148">
        <f t="shared" si="172"/>
        <v>0</v>
      </c>
      <c r="K351" s="148"/>
      <c r="L351" s="149">
        <f t="shared" si="171"/>
        <v>0</v>
      </c>
      <c r="M351" s="149">
        <f t="shared" si="169"/>
        <v>0</v>
      </c>
    </row>
    <row r="352" spans="2:17">
      <c r="B352" s="137">
        <f t="shared" si="167"/>
        <v>337</v>
      </c>
      <c r="C352" s="142">
        <f t="shared" si="162"/>
        <v>10255</v>
      </c>
      <c r="D352" s="148">
        <f t="shared" si="165"/>
        <v>0</v>
      </c>
      <c r="E352" s="148">
        <f t="shared" si="170"/>
        <v>0</v>
      </c>
      <c r="F352" s="148">
        <f t="shared" si="168"/>
        <v>0</v>
      </c>
      <c r="G352" s="148">
        <f>ROUND(M351*$K$7*YEARFRAC(C351,C352),2)</f>
        <v>0</v>
      </c>
      <c r="H352" s="148"/>
      <c r="I352" s="148">
        <f t="shared" si="166"/>
        <v>0</v>
      </c>
      <c r="J352" s="148">
        <f>ROUND(M363*$K$8*YEARFRAC(C351,C352),2)</f>
        <v>0</v>
      </c>
      <c r="K352" s="148"/>
      <c r="L352" s="149">
        <f t="shared" si="171"/>
        <v>0</v>
      </c>
      <c r="M352" s="149">
        <f t="shared" si="169"/>
        <v>0</v>
      </c>
    </row>
    <row r="353" spans="2:17">
      <c r="B353" s="137">
        <f t="shared" ref="B353:B368" si="173">B352+1</f>
        <v>338</v>
      </c>
      <c r="C353" s="142">
        <f t="shared" si="162"/>
        <v>10286</v>
      </c>
      <c r="D353" s="148">
        <f t="shared" si="165"/>
        <v>0</v>
      </c>
      <c r="E353" s="148">
        <f t="shared" si="170"/>
        <v>0</v>
      </c>
      <c r="F353" s="148">
        <f t="shared" si="168"/>
        <v>0</v>
      </c>
      <c r="G353" s="148">
        <f>G352</f>
        <v>0</v>
      </c>
      <c r="H353" s="148"/>
      <c r="I353" s="148">
        <f t="shared" si="166"/>
        <v>0</v>
      </c>
      <c r="J353" s="148">
        <f>J352</f>
        <v>0</v>
      </c>
      <c r="K353" s="148"/>
      <c r="L353" s="149">
        <f t="shared" si="171"/>
        <v>0</v>
      </c>
      <c r="M353" s="149">
        <f t="shared" si="169"/>
        <v>0</v>
      </c>
    </row>
    <row r="354" spans="2:17">
      <c r="B354" s="137">
        <f t="shared" si="173"/>
        <v>339</v>
      </c>
      <c r="C354" s="142">
        <f t="shared" si="162"/>
        <v>10315</v>
      </c>
      <c r="D354" s="148">
        <f t="shared" si="165"/>
        <v>0</v>
      </c>
      <c r="E354" s="148">
        <f t="shared" si="170"/>
        <v>0</v>
      </c>
      <c r="F354" s="148">
        <f t="shared" si="168"/>
        <v>0</v>
      </c>
      <c r="G354" s="148">
        <f t="shared" ref="G354:J363" si="174">G353</f>
        <v>0</v>
      </c>
      <c r="H354" s="148"/>
      <c r="I354" s="148">
        <f t="shared" si="166"/>
        <v>0</v>
      </c>
      <c r="J354" s="148">
        <f t="shared" si="174"/>
        <v>0</v>
      </c>
      <c r="K354" s="148"/>
      <c r="L354" s="149">
        <f t="shared" si="171"/>
        <v>0</v>
      </c>
      <c r="M354" s="149">
        <f t="shared" si="169"/>
        <v>0</v>
      </c>
      <c r="N354" s="1010"/>
      <c r="O354" s="1011"/>
      <c r="P354" s="1012"/>
      <c r="Q354" s="1012"/>
    </row>
    <row r="355" spans="2:17">
      <c r="B355" s="137">
        <f t="shared" si="173"/>
        <v>340</v>
      </c>
      <c r="C355" s="142">
        <f t="shared" si="162"/>
        <v>10346</v>
      </c>
      <c r="D355" s="148">
        <f t="shared" si="165"/>
        <v>0</v>
      </c>
      <c r="E355" s="148">
        <f t="shared" si="170"/>
        <v>0</v>
      </c>
      <c r="F355" s="148">
        <f t="shared" si="168"/>
        <v>0</v>
      </c>
      <c r="G355" s="148">
        <f t="shared" si="174"/>
        <v>0</v>
      </c>
      <c r="H355" s="148"/>
      <c r="I355" s="148">
        <f t="shared" si="166"/>
        <v>0</v>
      </c>
      <c r="J355" s="148">
        <f t="shared" si="174"/>
        <v>0</v>
      </c>
      <c r="K355" s="148"/>
      <c r="L355" s="149">
        <f t="shared" si="171"/>
        <v>0</v>
      </c>
      <c r="M355" s="149">
        <f t="shared" si="169"/>
        <v>0</v>
      </c>
      <c r="N355" s="1113"/>
      <c r="O355" s="1113"/>
      <c r="P355" s="1113"/>
    </row>
    <row r="356" spans="2:17">
      <c r="B356" s="137">
        <f t="shared" si="173"/>
        <v>341</v>
      </c>
      <c r="C356" s="142">
        <f t="shared" si="162"/>
        <v>10376</v>
      </c>
      <c r="D356" s="148">
        <f t="shared" si="165"/>
        <v>0</v>
      </c>
      <c r="E356" s="148">
        <f t="shared" si="170"/>
        <v>0</v>
      </c>
      <c r="F356" s="148">
        <f t="shared" si="168"/>
        <v>0</v>
      </c>
      <c r="G356" s="148">
        <f t="shared" si="174"/>
        <v>0</v>
      </c>
      <c r="H356" s="148"/>
      <c r="I356" s="148">
        <f t="shared" si="166"/>
        <v>0</v>
      </c>
      <c r="J356" s="148">
        <f t="shared" si="174"/>
        <v>0</v>
      </c>
      <c r="K356" s="148"/>
      <c r="L356" s="149">
        <f t="shared" si="171"/>
        <v>0</v>
      </c>
      <c r="M356" s="149">
        <f t="shared" si="169"/>
        <v>0</v>
      </c>
    </row>
    <row r="357" spans="2:17">
      <c r="B357" s="137">
        <f t="shared" si="173"/>
        <v>342</v>
      </c>
      <c r="C357" s="142">
        <f t="shared" si="162"/>
        <v>10407</v>
      </c>
      <c r="D357" s="148">
        <f t="shared" si="165"/>
        <v>0</v>
      </c>
      <c r="E357" s="148">
        <f t="shared" si="170"/>
        <v>0</v>
      </c>
      <c r="F357" s="148">
        <f t="shared" si="168"/>
        <v>0</v>
      </c>
      <c r="G357" s="148">
        <f t="shared" si="174"/>
        <v>0</v>
      </c>
      <c r="H357" s="148"/>
      <c r="I357" s="148">
        <f t="shared" si="166"/>
        <v>0</v>
      </c>
      <c r="J357" s="148">
        <f t="shared" si="174"/>
        <v>0</v>
      </c>
      <c r="K357" s="148"/>
      <c r="L357" s="149">
        <f t="shared" si="171"/>
        <v>0</v>
      </c>
      <c r="M357" s="149">
        <f t="shared" si="169"/>
        <v>0</v>
      </c>
    </row>
    <row r="358" spans="2:17">
      <c r="B358" s="137">
        <f t="shared" si="173"/>
        <v>343</v>
      </c>
      <c r="C358" s="142">
        <f t="shared" si="162"/>
        <v>10437</v>
      </c>
      <c r="D358" s="148">
        <f t="shared" si="165"/>
        <v>0</v>
      </c>
      <c r="E358" s="148">
        <f t="shared" si="170"/>
        <v>0</v>
      </c>
      <c r="F358" s="148">
        <f t="shared" si="168"/>
        <v>0</v>
      </c>
      <c r="G358" s="148">
        <f t="shared" si="174"/>
        <v>0</v>
      </c>
      <c r="H358" s="148"/>
      <c r="I358" s="148">
        <f t="shared" si="166"/>
        <v>0</v>
      </c>
      <c r="J358" s="148">
        <f t="shared" si="174"/>
        <v>0</v>
      </c>
      <c r="K358" s="148"/>
      <c r="L358" s="149">
        <f t="shared" si="171"/>
        <v>0</v>
      </c>
      <c r="M358" s="149">
        <f t="shared" si="169"/>
        <v>0</v>
      </c>
    </row>
    <row r="359" spans="2:17">
      <c r="B359" s="137">
        <f t="shared" si="173"/>
        <v>344</v>
      </c>
      <c r="C359" s="142">
        <f t="shared" si="162"/>
        <v>10468</v>
      </c>
      <c r="D359" s="148">
        <f t="shared" si="165"/>
        <v>0</v>
      </c>
      <c r="E359" s="148">
        <f t="shared" si="170"/>
        <v>0</v>
      </c>
      <c r="F359" s="148">
        <f t="shared" si="168"/>
        <v>0</v>
      </c>
      <c r="G359" s="148">
        <f t="shared" si="174"/>
        <v>0</v>
      </c>
      <c r="H359" s="148"/>
      <c r="I359" s="148">
        <f t="shared" si="166"/>
        <v>0</v>
      </c>
      <c r="J359" s="148">
        <f t="shared" si="174"/>
        <v>0</v>
      </c>
      <c r="K359" s="148"/>
      <c r="L359" s="149">
        <f t="shared" si="171"/>
        <v>0</v>
      </c>
      <c r="M359" s="149">
        <f t="shared" si="169"/>
        <v>0</v>
      </c>
    </row>
    <row r="360" spans="2:17">
      <c r="B360" s="137">
        <f t="shared" si="173"/>
        <v>345</v>
      </c>
      <c r="C360" s="142">
        <f t="shared" si="162"/>
        <v>10499</v>
      </c>
      <c r="D360" s="148">
        <f t="shared" si="165"/>
        <v>0</v>
      </c>
      <c r="E360" s="148">
        <f t="shared" si="170"/>
        <v>0</v>
      </c>
      <c r="F360" s="148">
        <f t="shared" si="168"/>
        <v>0</v>
      </c>
      <c r="G360" s="148">
        <f t="shared" si="174"/>
        <v>0</v>
      </c>
      <c r="H360" s="148"/>
      <c r="I360" s="148">
        <f t="shared" si="166"/>
        <v>0</v>
      </c>
      <c r="J360" s="148">
        <f t="shared" si="174"/>
        <v>0</v>
      </c>
      <c r="K360" s="148"/>
      <c r="L360" s="149">
        <f t="shared" si="171"/>
        <v>0</v>
      </c>
      <c r="M360" s="149">
        <f t="shared" si="169"/>
        <v>0</v>
      </c>
    </row>
    <row r="361" spans="2:17">
      <c r="B361" s="137">
        <f t="shared" si="173"/>
        <v>346</v>
      </c>
      <c r="C361" s="142">
        <f t="shared" si="162"/>
        <v>10529</v>
      </c>
      <c r="D361" s="148">
        <f t="shared" si="165"/>
        <v>0</v>
      </c>
      <c r="E361" s="148">
        <f t="shared" si="170"/>
        <v>0</v>
      </c>
      <c r="F361" s="148">
        <f t="shared" si="168"/>
        <v>0</v>
      </c>
      <c r="G361" s="148">
        <f t="shared" si="174"/>
        <v>0</v>
      </c>
      <c r="H361" s="148"/>
      <c r="I361" s="148">
        <f t="shared" si="166"/>
        <v>0</v>
      </c>
      <c r="J361" s="148">
        <f t="shared" si="174"/>
        <v>0</v>
      </c>
      <c r="K361" s="148"/>
      <c r="L361" s="149">
        <f t="shared" si="171"/>
        <v>0</v>
      </c>
      <c r="M361" s="149">
        <f t="shared" si="169"/>
        <v>0</v>
      </c>
    </row>
    <row r="362" spans="2:17">
      <c r="B362" s="137">
        <f t="shared" si="173"/>
        <v>347</v>
      </c>
      <c r="C362" s="142">
        <f t="shared" si="162"/>
        <v>10560</v>
      </c>
      <c r="D362" s="148">
        <f t="shared" si="165"/>
        <v>0</v>
      </c>
      <c r="E362" s="148">
        <f t="shared" si="170"/>
        <v>0</v>
      </c>
      <c r="F362" s="148">
        <f t="shared" si="168"/>
        <v>0</v>
      </c>
      <c r="G362" s="148">
        <f t="shared" si="174"/>
        <v>0</v>
      </c>
      <c r="H362" s="148"/>
      <c r="I362" s="148">
        <f t="shared" si="166"/>
        <v>0</v>
      </c>
      <c r="J362" s="148">
        <f t="shared" si="174"/>
        <v>0</v>
      </c>
      <c r="K362" s="148"/>
      <c r="L362" s="149">
        <f t="shared" si="171"/>
        <v>0</v>
      </c>
      <c r="M362" s="149">
        <f t="shared" si="169"/>
        <v>0</v>
      </c>
    </row>
    <row r="363" spans="2:17">
      <c r="B363" s="137">
        <f t="shared" si="173"/>
        <v>348</v>
      </c>
      <c r="C363" s="142">
        <f t="shared" si="162"/>
        <v>10590</v>
      </c>
      <c r="D363" s="148">
        <f t="shared" si="165"/>
        <v>0</v>
      </c>
      <c r="E363" s="148">
        <f t="shared" si="170"/>
        <v>0</v>
      </c>
      <c r="F363" s="148">
        <f t="shared" si="168"/>
        <v>0</v>
      </c>
      <c r="G363" s="148">
        <f t="shared" si="174"/>
        <v>0</v>
      </c>
      <c r="H363" s="148"/>
      <c r="I363" s="148">
        <f t="shared" si="166"/>
        <v>0</v>
      </c>
      <c r="J363" s="148">
        <f t="shared" si="174"/>
        <v>0</v>
      </c>
      <c r="K363" s="148"/>
      <c r="L363" s="149">
        <f t="shared" si="171"/>
        <v>0</v>
      </c>
      <c r="M363" s="149">
        <f t="shared" si="169"/>
        <v>0</v>
      </c>
    </row>
    <row r="364" spans="2:17">
      <c r="B364" s="137">
        <f t="shared" si="173"/>
        <v>349</v>
      </c>
      <c r="C364" s="142">
        <f t="shared" si="162"/>
        <v>10621</v>
      </c>
      <c r="D364" s="148">
        <f t="shared" si="165"/>
        <v>0</v>
      </c>
      <c r="E364" s="148">
        <f t="shared" si="170"/>
        <v>0</v>
      </c>
      <c r="F364" s="148">
        <f t="shared" si="168"/>
        <v>0</v>
      </c>
      <c r="G364" s="148">
        <f>ROUND(M363*$K$7*YEARFRAC(C363,C364),2)</f>
        <v>0</v>
      </c>
      <c r="H364" s="148"/>
      <c r="I364" s="148">
        <f t="shared" si="166"/>
        <v>0</v>
      </c>
      <c r="J364" s="148">
        <f>ROUND(M375*$K$8*YEARFRAC(C363,C364),2)</f>
        <v>0</v>
      </c>
      <c r="K364" s="148"/>
      <c r="L364" s="149">
        <f t="shared" si="171"/>
        <v>0</v>
      </c>
      <c r="M364" s="149">
        <f t="shared" si="169"/>
        <v>0</v>
      </c>
    </row>
    <row r="365" spans="2:17">
      <c r="B365" s="137">
        <f t="shared" si="173"/>
        <v>350</v>
      </c>
      <c r="C365" s="142">
        <f t="shared" si="162"/>
        <v>10652</v>
      </c>
      <c r="D365" s="148">
        <f t="shared" si="165"/>
        <v>0</v>
      </c>
      <c r="E365" s="148">
        <f t="shared" si="170"/>
        <v>0</v>
      </c>
      <c r="F365" s="148">
        <f t="shared" si="168"/>
        <v>0</v>
      </c>
      <c r="G365" s="148">
        <f>G364</f>
        <v>0</v>
      </c>
      <c r="H365" s="148"/>
      <c r="I365" s="148">
        <f t="shared" si="166"/>
        <v>0</v>
      </c>
      <c r="J365" s="148">
        <f>J364</f>
        <v>0</v>
      </c>
      <c r="K365" s="148"/>
      <c r="L365" s="149">
        <f t="shared" si="171"/>
        <v>0</v>
      </c>
      <c r="M365" s="149">
        <f t="shared" si="169"/>
        <v>0</v>
      </c>
    </row>
    <row r="366" spans="2:17">
      <c r="B366" s="137">
        <f t="shared" si="173"/>
        <v>351</v>
      </c>
      <c r="C366" s="142">
        <f t="shared" si="162"/>
        <v>10680</v>
      </c>
      <c r="D366" s="148">
        <f t="shared" si="165"/>
        <v>0</v>
      </c>
      <c r="E366" s="148">
        <f t="shared" si="170"/>
        <v>0</v>
      </c>
      <c r="F366" s="148">
        <f t="shared" si="168"/>
        <v>0</v>
      </c>
      <c r="G366" s="148">
        <f t="shared" ref="G366:J375" si="175">G365</f>
        <v>0</v>
      </c>
      <c r="H366" s="148"/>
      <c r="I366" s="148">
        <f t="shared" si="166"/>
        <v>0</v>
      </c>
      <c r="J366" s="148">
        <f t="shared" si="175"/>
        <v>0</v>
      </c>
      <c r="K366" s="148"/>
      <c r="L366" s="149">
        <f t="shared" si="171"/>
        <v>0</v>
      </c>
      <c r="M366" s="149">
        <f t="shared" si="169"/>
        <v>0</v>
      </c>
    </row>
    <row r="367" spans="2:17">
      <c r="B367" s="137">
        <f t="shared" si="173"/>
        <v>352</v>
      </c>
      <c r="C367" s="142">
        <f t="shared" si="162"/>
        <v>10711</v>
      </c>
      <c r="D367" s="148">
        <f t="shared" si="165"/>
        <v>0</v>
      </c>
      <c r="E367" s="148">
        <f t="shared" si="170"/>
        <v>0</v>
      </c>
      <c r="F367" s="148">
        <f t="shared" si="168"/>
        <v>0</v>
      </c>
      <c r="G367" s="148">
        <f t="shared" si="175"/>
        <v>0</v>
      </c>
      <c r="H367" s="148"/>
      <c r="I367" s="148">
        <f t="shared" si="166"/>
        <v>0</v>
      </c>
      <c r="J367" s="148">
        <f t="shared" si="175"/>
        <v>0</v>
      </c>
      <c r="K367" s="148"/>
      <c r="L367" s="149">
        <f t="shared" si="171"/>
        <v>0</v>
      </c>
      <c r="M367" s="149">
        <f t="shared" si="169"/>
        <v>0</v>
      </c>
    </row>
    <row r="368" spans="2:17">
      <c r="B368" s="137">
        <f t="shared" si="173"/>
        <v>353</v>
      </c>
      <c r="C368" s="142">
        <f t="shared" si="162"/>
        <v>10741</v>
      </c>
      <c r="D368" s="148">
        <f t="shared" si="165"/>
        <v>0</v>
      </c>
      <c r="E368" s="148">
        <f t="shared" si="170"/>
        <v>0</v>
      </c>
      <c r="F368" s="148">
        <f t="shared" si="168"/>
        <v>0</v>
      </c>
      <c r="G368" s="148">
        <f t="shared" si="175"/>
        <v>0</v>
      </c>
      <c r="H368" s="148"/>
      <c r="I368" s="148">
        <f t="shared" si="166"/>
        <v>0</v>
      </c>
      <c r="J368" s="148">
        <f t="shared" si="175"/>
        <v>0</v>
      </c>
      <c r="K368" s="148"/>
      <c r="L368" s="149">
        <f t="shared" si="171"/>
        <v>0</v>
      </c>
      <c r="M368" s="149">
        <f t="shared" si="169"/>
        <v>0</v>
      </c>
    </row>
    <row r="369" spans="2:13">
      <c r="B369" s="137">
        <f t="shared" ref="B369:B433" si="176">B368+1</f>
        <v>354</v>
      </c>
      <c r="C369" s="142">
        <f t="shared" si="162"/>
        <v>10772</v>
      </c>
      <c r="D369" s="148">
        <f t="shared" si="165"/>
        <v>0</v>
      </c>
      <c r="E369" s="148">
        <f t="shared" si="170"/>
        <v>0</v>
      </c>
      <c r="F369" s="148">
        <f t="shared" si="168"/>
        <v>0</v>
      </c>
      <c r="G369" s="148">
        <f t="shared" si="175"/>
        <v>0</v>
      </c>
      <c r="H369" s="148"/>
      <c r="I369" s="148">
        <f t="shared" si="166"/>
        <v>0</v>
      </c>
      <c r="J369" s="148">
        <f t="shared" si="175"/>
        <v>0</v>
      </c>
      <c r="K369" s="148"/>
      <c r="L369" s="149">
        <f t="shared" si="171"/>
        <v>0</v>
      </c>
      <c r="M369" s="149">
        <f t="shared" si="169"/>
        <v>0</v>
      </c>
    </row>
    <row r="370" spans="2:13">
      <c r="B370" s="137">
        <f t="shared" si="176"/>
        <v>355</v>
      </c>
      <c r="C370" s="142">
        <f t="shared" si="162"/>
        <v>10802</v>
      </c>
      <c r="D370" s="148">
        <f t="shared" si="165"/>
        <v>0</v>
      </c>
      <c r="E370" s="148">
        <f t="shared" si="170"/>
        <v>0</v>
      </c>
      <c r="F370" s="148">
        <f t="shared" si="168"/>
        <v>0</v>
      </c>
      <c r="G370" s="148">
        <f t="shared" si="175"/>
        <v>0</v>
      </c>
      <c r="H370" s="148"/>
      <c r="I370" s="148">
        <f t="shared" si="166"/>
        <v>0</v>
      </c>
      <c r="J370" s="148">
        <f t="shared" si="175"/>
        <v>0</v>
      </c>
      <c r="K370" s="148"/>
      <c r="L370" s="149">
        <f t="shared" si="171"/>
        <v>0</v>
      </c>
      <c r="M370" s="149">
        <f t="shared" si="169"/>
        <v>0</v>
      </c>
    </row>
    <row r="371" spans="2:13">
      <c r="B371" s="137">
        <f t="shared" si="176"/>
        <v>356</v>
      </c>
      <c r="C371" s="142">
        <f t="shared" si="162"/>
        <v>10833</v>
      </c>
      <c r="D371" s="148">
        <f t="shared" si="165"/>
        <v>0</v>
      </c>
      <c r="E371" s="148">
        <f t="shared" si="170"/>
        <v>0</v>
      </c>
      <c r="F371" s="148">
        <f t="shared" si="168"/>
        <v>0</v>
      </c>
      <c r="G371" s="148">
        <f t="shared" si="175"/>
        <v>0</v>
      </c>
      <c r="H371" s="148"/>
      <c r="I371" s="148">
        <f t="shared" si="166"/>
        <v>0</v>
      </c>
      <c r="J371" s="148">
        <f t="shared" si="175"/>
        <v>0</v>
      </c>
      <c r="K371" s="148"/>
      <c r="L371" s="149">
        <f t="shared" si="171"/>
        <v>0</v>
      </c>
      <c r="M371" s="149">
        <f t="shared" si="169"/>
        <v>0</v>
      </c>
    </row>
    <row r="372" spans="2:13">
      <c r="B372" s="137">
        <f t="shared" si="176"/>
        <v>357</v>
      </c>
      <c r="C372" s="142">
        <f t="shared" si="162"/>
        <v>10864</v>
      </c>
      <c r="D372" s="148">
        <f t="shared" si="165"/>
        <v>0</v>
      </c>
      <c r="E372" s="148">
        <f t="shared" si="170"/>
        <v>0</v>
      </c>
      <c r="F372" s="148">
        <f t="shared" si="168"/>
        <v>0</v>
      </c>
      <c r="G372" s="148">
        <f t="shared" si="175"/>
        <v>0</v>
      </c>
      <c r="H372" s="148"/>
      <c r="I372" s="148">
        <f t="shared" si="166"/>
        <v>0</v>
      </c>
      <c r="J372" s="148">
        <f t="shared" si="175"/>
        <v>0</v>
      </c>
      <c r="K372" s="148"/>
      <c r="L372" s="149">
        <f t="shared" si="171"/>
        <v>0</v>
      </c>
      <c r="M372" s="149">
        <f t="shared" si="169"/>
        <v>0</v>
      </c>
    </row>
    <row r="373" spans="2:13">
      <c r="B373" s="137">
        <f t="shared" si="176"/>
        <v>358</v>
      </c>
      <c r="C373" s="142">
        <f t="shared" si="162"/>
        <v>10894</v>
      </c>
      <c r="D373" s="148">
        <f t="shared" si="165"/>
        <v>0</v>
      </c>
      <c r="E373" s="148">
        <f t="shared" si="170"/>
        <v>0</v>
      </c>
      <c r="F373" s="148">
        <f t="shared" si="168"/>
        <v>0</v>
      </c>
      <c r="G373" s="148">
        <f t="shared" si="175"/>
        <v>0</v>
      </c>
      <c r="H373" s="148"/>
      <c r="I373" s="148">
        <f t="shared" si="166"/>
        <v>0</v>
      </c>
      <c r="J373" s="148">
        <f t="shared" si="175"/>
        <v>0</v>
      </c>
      <c r="K373" s="148"/>
      <c r="L373" s="149">
        <f t="shared" si="171"/>
        <v>0</v>
      </c>
      <c r="M373" s="149">
        <f t="shared" si="169"/>
        <v>0</v>
      </c>
    </row>
    <row r="374" spans="2:13">
      <c r="B374" s="137">
        <f t="shared" si="176"/>
        <v>359</v>
      </c>
      <c r="C374" s="142">
        <f t="shared" si="162"/>
        <v>10925</v>
      </c>
      <c r="D374" s="148">
        <f t="shared" si="165"/>
        <v>0</v>
      </c>
      <c r="E374" s="148">
        <f t="shared" si="170"/>
        <v>0</v>
      </c>
      <c r="F374" s="148">
        <f t="shared" si="168"/>
        <v>0</v>
      </c>
      <c r="G374" s="148">
        <f t="shared" si="175"/>
        <v>0</v>
      </c>
      <c r="H374" s="148"/>
      <c r="I374" s="148">
        <f t="shared" si="166"/>
        <v>0</v>
      </c>
      <c r="J374" s="148">
        <f t="shared" si="175"/>
        <v>0</v>
      </c>
      <c r="K374" s="148"/>
      <c r="L374" s="149">
        <f t="shared" si="171"/>
        <v>0</v>
      </c>
      <c r="M374" s="149">
        <f t="shared" si="169"/>
        <v>0</v>
      </c>
    </row>
    <row r="375" spans="2:13">
      <c r="B375" s="137">
        <f t="shared" si="176"/>
        <v>360</v>
      </c>
      <c r="C375" s="142">
        <f t="shared" si="162"/>
        <v>10955</v>
      </c>
      <c r="D375" s="148">
        <f t="shared" si="165"/>
        <v>0</v>
      </c>
      <c r="E375" s="148">
        <f t="shared" si="170"/>
        <v>0</v>
      </c>
      <c r="F375" s="148">
        <f t="shared" si="168"/>
        <v>0</v>
      </c>
      <c r="G375" s="148">
        <f t="shared" si="175"/>
        <v>0</v>
      </c>
      <c r="H375" s="148"/>
      <c r="I375" s="148">
        <f t="shared" si="166"/>
        <v>0</v>
      </c>
      <c r="J375" s="148">
        <f t="shared" si="175"/>
        <v>0</v>
      </c>
      <c r="K375" s="148"/>
      <c r="L375" s="149">
        <f t="shared" si="171"/>
        <v>0</v>
      </c>
      <c r="M375" s="149">
        <f t="shared" si="169"/>
        <v>0</v>
      </c>
    </row>
    <row r="376" spans="2:13" hidden="1">
      <c r="B376" s="137">
        <f t="shared" si="176"/>
        <v>361</v>
      </c>
      <c r="C376" s="142">
        <f t="shared" si="162"/>
        <v>10986</v>
      </c>
      <c r="D376" s="148">
        <f t="shared" si="165"/>
        <v>0</v>
      </c>
      <c r="E376" s="148">
        <f t="shared" si="170"/>
        <v>0</v>
      </c>
      <c r="F376" s="148">
        <f t="shared" si="168"/>
        <v>0</v>
      </c>
      <c r="G376" s="148">
        <f>ROUND(M375*$K$7*YEARFRAC(C375,C376),2)</f>
        <v>0</v>
      </c>
      <c r="H376" s="148"/>
      <c r="I376" s="148">
        <f t="shared" si="166"/>
        <v>0</v>
      </c>
      <c r="J376" s="148">
        <f>ROUND(M375*$K$8*YEARFRAC(C375,C376),2)</f>
        <v>0</v>
      </c>
      <c r="K376" s="148"/>
      <c r="L376" s="149">
        <f t="shared" si="171"/>
        <v>0</v>
      </c>
      <c r="M376" s="149"/>
    </row>
    <row r="377" spans="2:13" hidden="1">
      <c r="B377" s="137">
        <f t="shared" si="176"/>
        <v>362</v>
      </c>
      <c r="C377" s="142">
        <f t="shared" si="162"/>
        <v>11017</v>
      </c>
      <c r="D377" s="148">
        <f t="shared" si="165"/>
        <v>0</v>
      </c>
      <c r="E377" s="148">
        <f t="shared" si="170"/>
        <v>0</v>
      </c>
      <c r="F377" s="148">
        <f t="shared" si="168"/>
        <v>0</v>
      </c>
      <c r="G377" s="148">
        <f>G376</f>
        <v>0</v>
      </c>
      <c r="H377" s="148"/>
      <c r="I377" s="148">
        <f t="shared" si="166"/>
        <v>0</v>
      </c>
      <c r="J377" s="148">
        <f>J376</f>
        <v>0</v>
      </c>
      <c r="K377" s="148"/>
      <c r="L377" s="149">
        <f t="shared" si="171"/>
        <v>0</v>
      </c>
      <c r="M377" s="149"/>
    </row>
    <row r="378" spans="2:13" hidden="1">
      <c r="B378" s="137">
        <f t="shared" si="176"/>
        <v>363</v>
      </c>
      <c r="C378" s="142">
        <f t="shared" si="162"/>
        <v>11045</v>
      </c>
      <c r="D378" s="148">
        <f t="shared" si="165"/>
        <v>0</v>
      </c>
      <c r="E378" s="148">
        <f t="shared" si="170"/>
        <v>0</v>
      </c>
      <c r="F378" s="148">
        <f t="shared" si="168"/>
        <v>0</v>
      </c>
      <c r="G378" s="148">
        <f t="shared" ref="G378:J387" si="177">G377</f>
        <v>0</v>
      </c>
      <c r="H378" s="148"/>
      <c r="I378" s="148">
        <f t="shared" si="166"/>
        <v>0</v>
      </c>
      <c r="J378" s="148">
        <f t="shared" si="177"/>
        <v>0</v>
      </c>
      <c r="K378" s="148"/>
      <c r="L378" s="149">
        <f t="shared" si="171"/>
        <v>0</v>
      </c>
      <c r="M378" s="149"/>
    </row>
    <row r="379" spans="2:13" hidden="1">
      <c r="B379" s="137">
        <f t="shared" si="176"/>
        <v>364</v>
      </c>
      <c r="C379" s="142">
        <f t="shared" si="162"/>
        <v>11076</v>
      </c>
      <c r="D379" s="148">
        <f t="shared" si="165"/>
        <v>0</v>
      </c>
      <c r="E379" s="148">
        <f t="shared" si="170"/>
        <v>0</v>
      </c>
      <c r="F379" s="148">
        <f t="shared" si="168"/>
        <v>0</v>
      </c>
      <c r="G379" s="148">
        <f t="shared" si="177"/>
        <v>0</v>
      </c>
      <c r="H379" s="148"/>
      <c r="I379" s="148">
        <f t="shared" si="166"/>
        <v>0</v>
      </c>
      <c r="J379" s="148">
        <f t="shared" si="177"/>
        <v>0</v>
      </c>
      <c r="K379" s="148"/>
      <c r="L379" s="149">
        <f t="shared" si="171"/>
        <v>0</v>
      </c>
      <c r="M379" s="149"/>
    </row>
    <row r="380" spans="2:13" hidden="1">
      <c r="B380" s="137">
        <f t="shared" si="176"/>
        <v>365</v>
      </c>
      <c r="C380" s="142">
        <f t="shared" si="162"/>
        <v>11106</v>
      </c>
      <c r="D380" s="148">
        <f t="shared" si="165"/>
        <v>0</v>
      </c>
      <c r="E380" s="148">
        <f t="shared" si="170"/>
        <v>0</v>
      </c>
      <c r="F380" s="148">
        <f t="shared" si="168"/>
        <v>0</v>
      </c>
      <c r="G380" s="148">
        <f t="shared" si="177"/>
        <v>0</v>
      </c>
      <c r="H380" s="148"/>
      <c r="I380" s="148">
        <f t="shared" si="166"/>
        <v>0</v>
      </c>
      <c r="J380" s="148">
        <f t="shared" si="177"/>
        <v>0</v>
      </c>
      <c r="K380" s="148"/>
      <c r="L380" s="149">
        <f t="shared" si="171"/>
        <v>0</v>
      </c>
      <c r="M380" s="149"/>
    </row>
    <row r="381" spans="2:13" hidden="1">
      <c r="B381" s="137">
        <f t="shared" si="176"/>
        <v>366</v>
      </c>
      <c r="C381" s="142">
        <f t="shared" si="162"/>
        <v>11137</v>
      </c>
      <c r="D381" s="148">
        <f t="shared" si="165"/>
        <v>0</v>
      </c>
      <c r="E381" s="148">
        <f t="shared" si="170"/>
        <v>0</v>
      </c>
      <c r="F381" s="148">
        <f t="shared" si="168"/>
        <v>0</v>
      </c>
      <c r="G381" s="148">
        <f t="shared" si="177"/>
        <v>0</v>
      </c>
      <c r="H381" s="148"/>
      <c r="I381" s="148">
        <f t="shared" si="166"/>
        <v>0</v>
      </c>
      <c r="J381" s="148">
        <f t="shared" si="177"/>
        <v>0</v>
      </c>
      <c r="K381" s="148"/>
      <c r="L381" s="149">
        <f t="shared" si="171"/>
        <v>0</v>
      </c>
      <c r="M381" s="149"/>
    </row>
    <row r="382" spans="2:13" hidden="1">
      <c r="B382" s="137">
        <f t="shared" si="176"/>
        <v>367</v>
      </c>
      <c r="C382" s="142">
        <f t="shared" si="162"/>
        <v>11167</v>
      </c>
      <c r="D382" s="148">
        <f t="shared" si="165"/>
        <v>0</v>
      </c>
      <c r="E382" s="148">
        <f t="shared" si="170"/>
        <v>0</v>
      </c>
      <c r="F382" s="148">
        <f t="shared" si="168"/>
        <v>0</v>
      </c>
      <c r="G382" s="148">
        <f t="shared" si="177"/>
        <v>0</v>
      </c>
      <c r="H382" s="148"/>
      <c r="I382" s="148">
        <f t="shared" si="166"/>
        <v>0</v>
      </c>
      <c r="J382" s="148">
        <f t="shared" si="177"/>
        <v>0</v>
      </c>
      <c r="K382" s="148"/>
      <c r="L382" s="149">
        <f t="shared" si="171"/>
        <v>0</v>
      </c>
      <c r="M382" s="149"/>
    </row>
    <row r="383" spans="2:13" hidden="1">
      <c r="B383" s="137">
        <f t="shared" si="176"/>
        <v>368</v>
      </c>
      <c r="C383" s="142">
        <f t="shared" si="162"/>
        <v>11198</v>
      </c>
      <c r="D383" s="148">
        <f t="shared" si="165"/>
        <v>0</v>
      </c>
      <c r="E383" s="148">
        <f t="shared" si="170"/>
        <v>0</v>
      </c>
      <c r="F383" s="148">
        <f t="shared" si="168"/>
        <v>0</v>
      </c>
      <c r="G383" s="148">
        <f t="shared" si="177"/>
        <v>0</v>
      </c>
      <c r="H383" s="148"/>
      <c r="I383" s="148">
        <f t="shared" si="166"/>
        <v>0</v>
      </c>
      <c r="J383" s="148">
        <f t="shared" si="177"/>
        <v>0</v>
      </c>
      <c r="K383" s="148"/>
      <c r="L383" s="149">
        <f t="shared" si="171"/>
        <v>0</v>
      </c>
      <c r="M383" s="149"/>
    </row>
    <row r="384" spans="2:13" hidden="1">
      <c r="B384" s="137">
        <f t="shared" si="176"/>
        <v>369</v>
      </c>
      <c r="C384" s="142">
        <f t="shared" ref="C384:C418" si="178">EDATE(C383,1)</f>
        <v>11229</v>
      </c>
      <c r="D384" s="148">
        <f t="shared" si="165"/>
        <v>0</v>
      </c>
      <c r="E384" s="148">
        <f t="shared" si="170"/>
        <v>0</v>
      </c>
      <c r="F384" s="148">
        <f t="shared" si="168"/>
        <v>0</v>
      </c>
      <c r="G384" s="148">
        <f t="shared" si="177"/>
        <v>0</v>
      </c>
      <c r="H384" s="148"/>
      <c r="I384" s="148">
        <f t="shared" si="166"/>
        <v>0</v>
      </c>
      <c r="J384" s="148">
        <f t="shared" si="177"/>
        <v>0</v>
      </c>
      <c r="K384" s="148"/>
      <c r="L384" s="149">
        <f t="shared" si="171"/>
        <v>0</v>
      </c>
      <c r="M384" s="149"/>
    </row>
    <row r="385" spans="2:13" hidden="1">
      <c r="B385" s="137">
        <f t="shared" si="176"/>
        <v>370</v>
      </c>
      <c r="C385" s="142">
        <f t="shared" si="178"/>
        <v>11259</v>
      </c>
      <c r="D385" s="148">
        <f t="shared" si="165"/>
        <v>0</v>
      </c>
      <c r="E385" s="148">
        <f t="shared" si="170"/>
        <v>0</v>
      </c>
      <c r="F385" s="148">
        <f t="shared" si="168"/>
        <v>0</v>
      </c>
      <c r="G385" s="148">
        <f t="shared" si="177"/>
        <v>0</v>
      </c>
      <c r="H385" s="148"/>
      <c r="I385" s="148">
        <f t="shared" si="166"/>
        <v>0</v>
      </c>
      <c r="J385" s="148">
        <f t="shared" si="177"/>
        <v>0</v>
      </c>
      <c r="K385" s="148"/>
      <c r="L385" s="149">
        <f t="shared" si="171"/>
        <v>0</v>
      </c>
      <c r="M385" s="149"/>
    </row>
    <row r="386" spans="2:13" hidden="1">
      <c r="B386" s="137">
        <f t="shared" si="176"/>
        <v>371</v>
      </c>
      <c r="C386" s="142">
        <f t="shared" si="178"/>
        <v>11290</v>
      </c>
      <c r="D386" s="148">
        <f t="shared" si="165"/>
        <v>0</v>
      </c>
      <c r="E386" s="148">
        <f t="shared" si="170"/>
        <v>0</v>
      </c>
      <c r="F386" s="148">
        <f t="shared" si="168"/>
        <v>0</v>
      </c>
      <c r="G386" s="148">
        <f t="shared" si="177"/>
        <v>0</v>
      </c>
      <c r="H386" s="148"/>
      <c r="I386" s="148">
        <f t="shared" si="166"/>
        <v>0</v>
      </c>
      <c r="J386" s="148">
        <f t="shared" si="177"/>
        <v>0</v>
      </c>
      <c r="K386" s="148"/>
      <c r="L386" s="149">
        <f t="shared" si="171"/>
        <v>0</v>
      </c>
      <c r="M386" s="149"/>
    </row>
    <row r="387" spans="2:13" hidden="1">
      <c r="B387" s="137">
        <f t="shared" si="176"/>
        <v>372</v>
      </c>
      <c r="C387" s="142">
        <f t="shared" si="178"/>
        <v>11320</v>
      </c>
      <c r="D387" s="148">
        <f t="shared" si="165"/>
        <v>0</v>
      </c>
      <c r="E387" s="148">
        <f t="shared" si="170"/>
        <v>0</v>
      </c>
      <c r="F387" s="148">
        <f t="shared" si="168"/>
        <v>0</v>
      </c>
      <c r="G387" s="148">
        <f t="shared" si="177"/>
        <v>0</v>
      </c>
      <c r="H387" s="148"/>
      <c r="I387" s="148">
        <f t="shared" si="166"/>
        <v>0</v>
      </c>
      <c r="J387" s="148">
        <f t="shared" si="177"/>
        <v>0</v>
      </c>
      <c r="K387" s="148"/>
      <c r="L387" s="149">
        <f t="shared" si="171"/>
        <v>0</v>
      </c>
      <c r="M387" s="149"/>
    </row>
    <row r="388" spans="2:13" hidden="1">
      <c r="B388" s="137">
        <f t="shared" si="176"/>
        <v>373</v>
      </c>
      <c r="C388" s="142">
        <f t="shared" si="178"/>
        <v>11351</v>
      </c>
      <c r="D388" s="148">
        <f t="shared" si="165"/>
        <v>0</v>
      </c>
      <c r="E388" s="148">
        <f t="shared" si="170"/>
        <v>0</v>
      </c>
      <c r="F388" s="148">
        <f t="shared" si="168"/>
        <v>0</v>
      </c>
      <c r="G388" s="148">
        <f>ROUND(M387*$K$7*YEARFRAC(C387,C388),2)</f>
        <v>0</v>
      </c>
      <c r="H388" s="148"/>
      <c r="I388" s="148">
        <f t="shared" si="166"/>
        <v>0</v>
      </c>
      <c r="J388" s="148">
        <f>ROUND(M387*$K$8*YEARFRAC(C387,C388),2)</f>
        <v>0</v>
      </c>
      <c r="K388" s="148"/>
      <c r="L388" s="149">
        <f t="shared" si="171"/>
        <v>0</v>
      </c>
      <c r="M388" s="149"/>
    </row>
    <row r="389" spans="2:13" hidden="1">
      <c r="B389" s="137">
        <f t="shared" si="176"/>
        <v>374</v>
      </c>
      <c r="C389" s="142">
        <f t="shared" si="178"/>
        <v>11382</v>
      </c>
      <c r="D389" s="148">
        <f t="shared" si="165"/>
        <v>0</v>
      </c>
      <c r="E389" s="148">
        <f t="shared" si="170"/>
        <v>0</v>
      </c>
      <c r="F389" s="148">
        <f t="shared" si="168"/>
        <v>0</v>
      </c>
      <c r="G389" s="148">
        <f>G388</f>
        <v>0</v>
      </c>
      <c r="H389" s="148"/>
      <c r="I389" s="148">
        <f t="shared" si="166"/>
        <v>0</v>
      </c>
      <c r="J389" s="148">
        <f>J388</f>
        <v>0</v>
      </c>
      <c r="K389" s="148"/>
      <c r="L389" s="149">
        <f t="shared" si="171"/>
        <v>0</v>
      </c>
      <c r="M389" s="149"/>
    </row>
    <row r="390" spans="2:13" hidden="1">
      <c r="B390" s="137">
        <f t="shared" si="176"/>
        <v>375</v>
      </c>
      <c r="C390" s="142">
        <f t="shared" si="178"/>
        <v>11410</v>
      </c>
      <c r="D390" s="148">
        <f t="shared" si="165"/>
        <v>0</v>
      </c>
      <c r="E390" s="148">
        <f t="shared" si="170"/>
        <v>0</v>
      </c>
      <c r="F390" s="148">
        <f t="shared" si="168"/>
        <v>0</v>
      </c>
      <c r="G390" s="148">
        <f t="shared" ref="G390:J399" si="179">G389</f>
        <v>0</v>
      </c>
      <c r="H390" s="148"/>
      <c r="I390" s="148">
        <f t="shared" si="166"/>
        <v>0</v>
      </c>
      <c r="J390" s="148">
        <f t="shared" si="179"/>
        <v>0</v>
      </c>
      <c r="K390" s="148"/>
      <c r="L390" s="149">
        <f t="shared" si="171"/>
        <v>0</v>
      </c>
      <c r="M390" s="149"/>
    </row>
    <row r="391" spans="2:13" hidden="1">
      <c r="B391" s="137">
        <f t="shared" si="176"/>
        <v>376</v>
      </c>
      <c r="C391" s="142">
        <f t="shared" si="178"/>
        <v>11441</v>
      </c>
      <c r="D391" s="148">
        <f t="shared" si="165"/>
        <v>0</v>
      </c>
      <c r="E391" s="148">
        <f t="shared" si="170"/>
        <v>0</v>
      </c>
      <c r="F391" s="148">
        <f t="shared" si="168"/>
        <v>0</v>
      </c>
      <c r="G391" s="148">
        <f t="shared" si="179"/>
        <v>0</v>
      </c>
      <c r="H391" s="148"/>
      <c r="I391" s="148">
        <f t="shared" si="166"/>
        <v>0</v>
      </c>
      <c r="J391" s="148">
        <f t="shared" si="179"/>
        <v>0</v>
      </c>
      <c r="K391" s="148"/>
      <c r="L391" s="149">
        <f t="shared" si="171"/>
        <v>0</v>
      </c>
      <c r="M391" s="149"/>
    </row>
    <row r="392" spans="2:13" hidden="1">
      <c r="B392" s="137">
        <f t="shared" si="176"/>
        <v>377</v>
      </c>
      <c r="C392" s="142">
        <f t="shared" si="178"/>
        <v>11471</v>
      </c>
      <c r="D392" s="148">
        <f t="shared" si="165"/>
        <v>0</v>
      </c>
      <c r="E392" s="148">
        <f t="shared" si="170"/>
        <v>0</v>
      </c>
      <c r="F392" s="148">
        <f t="shared" si="168"/>
        <v>0</v>
      </c>
      <c r="G392" s="148">
        <f t="shared" si="179"/>
        <v>0</v>
      </c>
      <c r="H392" s="148"/>
      <c r="I392" s="148">
        <f t="shared" si="166"/>
        <v>0</v>
      </c>
      <c r="J392" s="148">
        <f t="shared" si="179"/>
        <v>0</v>
      </c>
      <c r="K392" s="148"/>
      <c r="L392" s="149">
        <f t="shared" si="171"/>
        <v>0</v>
      </c>
      <c r="M392" s="149"/>
    </row>
    <row r="393" spans="2:13" hidden="1">
      <c r="B393" s="137">
        <f t="shared" si="176"/>
        <v>378</v>
      </c>
      <c r="C393" s="142">
        <f t="shared" si="178"/>
        <v>11502</v>
      </c>
      <c r="D393" s="148">
        <f t="shared" si="165"/>
        <v>0</v>
      </c>
      <c r="E393" s="148">
        <f t="shared" si="170"/>
        <v>0</v>
      </c>
      <c r="F393" s="148">
        <f t="shared" si="168"/>
        <v>0</v>
      </c>
      <c r="G393" s="148">
        <f t="shared" si="179"/>
        <v>0</v>
      </c>
      <c r="H393" s="148"/>
      <c r="I393" s="148">
        <f t="shared" si="166"/>
        <v>0</v>
      </c>
      <c r="J393" s="148">
        <f t="shared" si="179"/>
        <v>0</v>
      </c>
      <c r="K393" s="148"/>
      <c r="L393" s="149">
        <f t="shared" si="171"/>
        <v>0</v>
      </c>
      <c r="M393" s="149"/>
    </row>
    <row r="394" spans="2:13" hidden="1">
      <c r="B394" s="137">
        <f t="shared" si="176"/>
        <v>379</v>
      </c>
      <c r="C394" s="142">
        <f t="shared" si="178"/>
        <v>11532</v>
      </c>
      <c r="D394" s="148">
        <f t="shared" si="165"/>
        <v>0</v>
      </c>
      <c r="E394" s="148">
        <f t="shared" si="170"/>
        <v>0</v>
      </c>
      <c r="F394" s="148">
        <f t="shared" si="168"/>
        <v>0</v>
      </c>
      <c r="G394" s="148">
        <f t="shared" si="179"/>
        <v>0</v>
      </c>
      <c r="H394" s="148"/>
      <c r="I394" s="148">
        <f t="shared" si="166"/>
        <v>0</v>
      </c>
      <c r="J394" s="148">
        <f t="shared" si="179"/>
        <v>0</v>
      </c>
      <c r="K394" s="148"/>
      <c r="L394" s="149">
        <f t="shared" si="171"/>
        <v>0</v>
      </c>
      <c r="M394" s="149"/>
    </row>
    <row r="395" spans="2:13" hidden="1">
      <c r="B395" s="137">
        <f t="shared" si="176"/>
        <v>380</v>
      </c>
      <c r="C395" s="142">
        <f t="shared" si="178"/>
        <v>11563</v>
      </c>
      <c r="D395" s="148">
        <f t="shared" si="165"/>
        <v>0</v>
      </c>
      <c r="E395" s="148">
        <f t="shared" si="170"/>
        <v>0</v>
      </c>
      <c r="F395" s="148">
        <f t="shared" si="168"/>
        <v>0</v>
      </c>
      <c r="G395" s="148">
        <f t="shared" si="179"/>
        <v>0</v>
      </c>
      <c r="H395" s="148"/>
      <c r="I395" s="148">
        <f t="shared" si="166"/>
        <v>0</v>
      </c>
      <c r="J395" s="148">
        <f t="shared" si="179"/>
        <v>0</v>
      </c>
      <c r="K395" s="148"/>
      <c r="L395" s="149">
        <f t="shared" si="171"/>
        <v>0</v>
      </c>
      <c r="M395" s="149"/>
    </row>
    <row r="396" spans="2:13" hidden="1">
      <c r="B396" s="137">
        <f t="shared" si="176"/>
        <v>381</v>
      </c>
      <c r="C396" s="142">
        <f t="shared" si="178"/>
        <v>11594</v>
      </c>
      <c r="D396" s="148">
        <f t="shared" si="165"/>
        <v>0</v>
      </c>
      <c r="E396" s="148">
        <f t="shared" si="170"/>
        <v>0</v>
      </c>
      <c r="F396" s="148">
        <f t="shared" si="168"/>
        <v>0</v>
      </c>
      <c r="G396" s="148">
        <f t="shared" si="179"/>
        <v>0</v>
      </c>
      <c r="H396" s="148"/>
      <c r="I396" s="148">
        <f t="shared" si="166"/>
        <v>0</v>
      </c>
      <c r="J396" s="148">
        <f t="shared" si="179"/>
        <v>0</v>
      </c>
      <c r="K396" s="148"/>
      <c r="L396" s="149">
        <f t="shared" si="171"/>
        <v>0</v>
      </c>
      <c r="M396" s="149"/>
    </row>
    <row r="397" spans="2:13" hidden="1">
      <c r="B397" s="137">
        <f t="shared" si="176"/>
        <v>382</v>
      </c>
      <c r="C397" s="142">
        <f t="shared" si="178"/>
        <v>11624</v>
      </c>
      <c r="D397" s="148">
        <f t="shared" si="165"/>
        <v>0</v>
      </c>
      <c r="E397" s="148">
        <f t="shared" si="170"/>
        <v>0</v>
      </c>
      <c r="F397" s="148">
        <f t="shared" si="168"/>
        <v>0</v>
      </c>
      <c r="G397" s="148">
        <f t="shared" si="179"/>
        <v>0</v>
      </c>
      <c r="H397" s="148"/>
      <c r="I397" s="148">
        <f t="shared" si="166"/>
        <v>0</v>
      </c>
      <c r="J397" s="148">
        <f t="shared" si="179"/>
        <v>0</v>
      </c>
      <c r="K397" s="148"/>
      <c r="L397" s="149">
        <f t="shared" si="171"/>
        <v>0</v>
      </c>
      <c r="M397" s="149"/>
    </row>
    <row r="398" spans="2:13" hidden="1">
      <c r="B398" s="137">
        <f t="shared" si="176"/>
        <v>383</v>
      </c>
      <c r="C398" s="142">
        <f t="shared" si="178"/>
        <v>11655</v>
      </c>
      <c r="D398" s="148">
        <f t="shared" si="165"/>
        <v>0</v>
      </c>
      <c r="E398" s="148">
        <f t="shared" si="170"/>
        <v>0</v>
      </c>
      <c r="F398" s="148">
        <f t="shared" si="168"/>
        <v>0</v>
      </c>
      <c r="G398" s="148">
        <f t="shared" si="179"/>
        <v>0</v>
      </c>
      <c r="H398" s="148"/>
      <c r="I398" s="148">
        <f t="shared" si="166"/>
        <v>0</v>
      </c>
      <c r="J398" s="148">
        <f t="shared" si="179"/>
        <v>0</v>
      </c>
      <c r="K398" s="148"/>
      <c r="L398" s="149">
        <f t="shared" si="171"/>
        <v>0</v>
      </c>
      <c r="M398" s="149"/>
    </row>
    <row r="399" spans="2:13" hidden="1">
      <c r="B399" s="137">
        <f t="shared" si="176"/>
        <v>384</v>
      </c>
      <c r="C399" s="142">
        <f t="shared" si="178"/>
        <v>11685</v>
      </c>
      <c r="D399" s="148">
        <f t="shared" si="165"/>
        <v>0</v>
      </c>
      <c r="E399" s="148">
        <f t="shared" si="170"/>
        <v>0</v>
      </c>
      <c r="F399" s="148">
        <f t="shared" si="168"/>
        <v>0</v>
      </c>
      <c r="G399" s="148">
        <f t="shared" si="179"/>
        <v>0</v>
      </c>
      <c r="H399" s="148"/>
      <c r="I399" s="148">
        <f t="shared" si="166"/>
        <v>0</v>
      </c>
      <c r="J399" s="148">
        <f t="shared" si="179"/>
        <v>0</v>
      </c>
      <c r="K399" s="148"/>
      <c r="L399" s="149">
        <f t="shared" si="171"/>
        <v>0</v>
      </c>
      <c r="M399" s="149"/>
    </row>
    <row r="400" spans="2:13" hidden="1">
      <c r="B400" s="137">
        <f t="shared" si="176"/>
        <v>385</v>
      </c>
      <c r="C400" s="142">
        <f t="shared" si="178"/>
        <v>11716</v>
      </c>
      <c r="D400" s="148">
        <f t="shared" ref="D400:D435" si="180">IF(B400=($C$7*12),M399,IF(B400&gt;($C$7*12),0,PPMT($K$5/12,B400,$C$9*12,-$C$5)))</f>
        <v>0</v>
      </c>
      <c r="E400" s="148">
        <f t="shared" si="170"/>
        <v>0</v>
      </c>
      <c r="F400" s="148">
        <f t="shared" si="168"/>
        <v>0</v>
      </c>
      <c r="G400" s="148">
        <f>ROUND(M399*$K$7*YEARFRAC(C399,C400),2)</f>
        <v>0</v>
      </c>
      <c r="H400" s="148"/>
      <c r="I400" s="148">
        <f t="shared" ref="I400:I416" si="181">ROUND($K$6*(M400+2*E402+2*G402),2)/12</f>
        <v>0</v>
      </c>
      <c r="J400" s="148">
        <f>ROUND(M399*$K$8*YEARFRAC(C399,C400),2)</f>
        <v>0</v>
      </c>
      <c r="K400" s="148"/>
      <c r="L400" s="149">
        <f t="shared" si="171"/>
        <v>0</v>
      </c>
      <c r="M400" s="149"/>
    </row>
    <row r="401" spans="2:13" hidden="1">
      <c r="B401" s="137">
        <f t="shared" si="176"/>
        <v>386</v>
      </c>
      <c r="C401" s="142">
        <f t="shared" si="178"/>
        <v>11747</v>
      </c>
      <c r="D401" s="148">
        <f t="shared" si="180"/>
        <v>0</v>
      </c>
      <c r="E401" s="148">
        <f t="shared" si="170"/>
        <v>0</v>
      </c>
      <c r="F401" s="148">
        <f t="shared" ref="F401:F435" si="182">SUM(D401:E401)</f>
        <v>0</v>
      </c>
      <c r="G401" s="148">
        <f>G400</f>
        <v>0</v>
      </c>
      <c r="H401" s="148"/>
      <c r="I401" s="148">
        <f t="shared" si="181"/>
        <v>0</v>
      </c>
      <c r="J401" s="148">
        <f>J400</f>
        <v>0</v>
      </c>
      <c r="K401" s="148"/>
      <c r="L401" s="149">
        <f t="shared" si="171"/>
        <v>0</v>
      </c>
      <c r="M401" s="149"/>
    </row>
    <row r="402" spans="2:13" hidden="1">
      <c r="B402" s="137">
        <f t="shared" si="176"/>
        <v>387</v>
      </c>
      <c r="C402" s="142">
        <f t="shared" si="178"/>
        <v>11776</v>
      </c>
      <c r="D402" s="148">
        <f t="shared" si="180"/>
        <v>0</v>
      </c>
      <c r="E402" s="148">
        <f t="shared" ref="E402:E435" si="183">($K$5)/12*M401</f>
        <v>0</v>
      </c>
      <c r="F402" s="148">
        <f t="shared" si="182"/>
        <v>0</v>
      </c>
      <c r="G402" s="148">
        <f t="shared" ref="G402:J411" si="184">G401</f>
        <v>0</v>
      </c>
      <c r="H402" s="148"/>
      <c r="I402" s="148">
        <f t="shared" si="181"/>
        <v>0</v>
      </c>
      <c r="J402" s="148">
        <f t="shared" si="184"/>
        <v>0</v>
      </c>
      <c r="K402" s="148"/>
      <c r="L402" s="149">
        <f t="shared" ref="L402:L435" si="185">SUM(F402:J402)</f>
        <v>0</v>
      </c>
      <c r="M402" s="149"/>
    </row>
    <row r="403" spans="2:13" hidden="1">
      <c r="B403" s="137">
        <f t="shared" si="176"/>
        <v>388</v>
      </c>
      <c r="C403" s="142">
        <f t="shared" si="178"/>
        <v>11807</v>
      </c>
      <c r="D403" s="148">
        <f t="shared" si="180"/>
        <v>0</v>
      </c>
      <c r="E403" s="148">
        <f t="shared" si="183"/>
        <v>0</v>
      </c>
      <c r="F403" s="148">
        <f t="shared" si="182"/>
        <v>0</v>
      </c>
      <c r="G403" s="148">
        <f t="shared" si="184"/>
        <v>0</v>
      </c>
      <c r="H403" s="148"/>
      <c r="I403" s="148">
        <f t="shared" si="181"/>
        <v>0</v>
      </c>
      <c r="J403" s="148">
        <f t="shared" si="184"/>
        <v>0</v>
      </c>
      <c r="K403" s="148"/>
      <c r="L403" s="149">
        <f t="shared" si="185"/>
        <v>0</v>
      </c>
      <c r="M403" s="149"/>
    </row>
    <row r="404" spans="2:13" hidden="1">
      <c r="B404" s="137">
        <f t="shared" si="176"/>
        <v>389</v>
      </c>
      <c r="C404" s="142">
        <f t="shared" si="178"/>
        <v>11837</v>
      </c>
      <c r="D404" s="148">
        <f t="shared" si="180"/>
        <v>0</v>
      </c>
      <c r="E404" s="148">
        <f t="shared" si="183"/>
        <v>0</v>
      </c>
      <c r="F404" s="148">
        <f t="shared" si="182"/>
        <v>0</v>
      </c>
      <c r="G404" s="148">
        <f t="shared" si="184"/>
        <v>0</v>
      </c>
      <c r="H404" s="148"/>
      <c r="I404" s="148">
        <f t="shared" si="181"/>
        <v>0</v>
      </c>
      <c r="J404" s="148">
        <f t="shared" si="184"/>
        <v>0</v>
      </c>
      <c r="K404" s="148"/>
      <c r="L404" s="149">
        <f t="shared" si="185"/>
        <v>0</v>
      </c>
      <c r="M404" s="149"/>
    </row>
    <row r="405" spans="2:13" hidden="1">
      <c r="B405" s="137">
        <f t="shared" si="176"/>
        <v>390</v>
      </c>
      <c r="C405" s="142">
        <f t="shared" si="178"/>
        <v>11868</v>
      </c>
      <c r="D405" s="148">
        <f t="shared" si="180"/>
        <v>0</v>
      </c>
      <c r="E405" s="148">
        <f t="shared" si="183"/>
        <v>0</v>
      </c>
      <c r="F405" s="148">
        <f t="shared" si="182"/>
        <v>0</v>
      </c>
      <c r="G405" s="148">
        <f t="shared" si="184"/>
        <v>0</v>
      </c>
      <c r="H405" s="148"/>
      <c r="I405" s="148">
        <f t="shared" si="181"/>
        <v>0</v>
      </c>
      <c r="J405" s="148">
        <f t="shared" si="184"/>
        <v>0</v>
      </c>
      <c r="K405" s="148"/>
      <c r="L405" s="149">
        <f t="shared" si="185"/>
        <v>0</v>
      </c>
      <c r="M405" s="149"/>
    </row>
    <row r="406" spans="2:13" hidden="1">
      <c r="B406" s="137">
        <f t="shared" si="176"/>
        <v>391</v>
      </c>
      <c r="C406" s="142">
        <f t="shared" si="178"/>
        <v>11898</v>
      </c>
      <c r="D406" s="148">
        <f t="shared" si="180"/>
        <v>0</v>
      </c>
      <c r="E406" s="148">
        <f t="shared" si="183"/>
        <v>0</v>
      </c>
      <c r="F406" s="148">
        <f t="shared" si="182"/>
        <v>0</v>
      </c>
      <c r="G406" s="148">
        <f t="shared" si="184"/>
        <v>0</v>
      </c>
      <c r="H406" s="148"/>
      <c r="I406" s="148">
        <f t="shared" si="181"/>
        <v>0</v>
      </c>
      <c r="J406" s="148">
        <f t="shared" si="184"/>
        <v>0</v>
      </c>
      <c r="K406" s="148"/>
      <c r="L406" s="149">
        <f t="shared" si="185"/>
        <v>0</v>
      </c>
      <c r="M406" s="149"/>
    </row>
    <row r="407" spans="2:13" hidden="1">
      <c r="B407" s="137">
        <f t="shared" si="176"/>
        <v>392</v>
      </c>
      <c r="C407" s="142">
        <f t="shared" si="178"/>
        <v>11929</v>
      </c>
      <c r="D407" s="148">
        <f t="shared" si="180"/>
        <v>0</v>
      </c>
      <c r="E407" s="148">
        <f t="shared" si="183"/>
        <v>0</v>
      </c>
      <c r="F407" s="148">
        <f t="shared" si="182"/>
        <v>0</v>
      </c>
      <c r="G407" s="148">
        <f t="shared" si="184"/>
        <v>0</v>
      </c>
      <c r="H407" s="148"/>
      <c r="I407" s="148">
        <f t="shared" si="181"/>
        <v>0</v>
      </c>
      <c r="J407" s="148">
        <f t="shared" si="184"/>
        <v>0</v>
      </c>
      <c r="K407" s="148"/>
      <c r="L407" s="149">
        <f t="shared" si="185"/>
        <v>0</v>
      </c>
      <c r="M407" s="149"/>
    </row>
    <row r="408" spans="2:13" hidden="1">
      <c r="B408" s="137">
        <f t="shared" si="176"/>
        <v>393</v>
      </c>
      <c r="C408" s="142">
        <f t="shared" si="178"/>
        <v>11960</v>
      </c>
      <c r="D408" s="148">
        <f t="shared" si="180"/>
        <v>0</v>
      </c>
      <c r="E408" s="148">
        <f t="shared" si="183"/>
        <v>0</v>
      </c>
      <c r="F408" s="148">
        <f t="shared" si="182"/>
        <v>0</v>
      </c>
      <c r="G408" s="148">
        <f t="shared" si="184"/>
        <v>0</v>
      </c>
      <c r="H408" s="148"/>
      <c r="I408" s="148">
        <f t="shared" si="181"/>
        <v>0</v>
      </c>
      <c r="J408" s="148">
        <f t="shared" si="184"/>
        <v>0</v>
      </c>
      <c r="K408" s="148"/>
      <c r="L408" s="149">
        <f t="shared" si="185"/>
        <v>0</v>
      </c>
      <c r="M408" s="149"/>
    </row>
    <row r="409" spans="2:13" hidden="1">
      <c r="B409" s="137">
        <f t="shared" si="176"/>
        <v>394</v>
      </c>
      <c r="C409" s="142">
        <f t="shared" si="178"/>
        <v>11990</v>
      </c>
      <c r="D409" s="148">
        <f t="shared" si="180"/>
        <v>0</v>
      </c>
      <c r="E409" s="148">
        <f t="shared" si="183"/>
        <v>0</v>
      </c>
      <c r="F409" s="148">
        <f t="shared" si="182"/>
        <v>0</v>
      </c>
      <c r="G409" s="148">
        <f t="shared" si="184"/>
        <v>0</v>
      </c>
      <c r="H409" s="148"/>
      <c r="I409" s="148">
        <f t="shared" si="181"/>
        <v>0</v>
      </c>
      <c r="J409" s="148">
        <f t="shared" si="184"/>
        <v>0</v>
      </c>
      <c r="K409" s="148"/>
      <c r="L409" s="149">
        <f t="shared" si="185"/>
        <v>0</v>
      </c>
      <c r="M409" s="149"/>
    </row>
    <row r="410" spans="2:13" hidden="1">
      <c r="B410" s="137">
        <f t="shared" si="176"/>
        <v>395</v>
      </c>
      <c r="C410" s="142">
        <f t="shared" si="178"/>
        <v>12021</v>
      </c>
      <c r="D410" s="148">
        <f t="shared" si="180"/>
        <v>0</v>
      </c>
      <c r="E410" s="148">
        <f t="shared" si="183"/>
        <v>0</v>
      </c>
      <c r="F410" s="148">
        <f t="shared" si="182"/>
        <v>0</v>
      </c>
      <c r="G410" s="148">
        <f t="shared" si="184"/>
        <v>0</v>
      </c>
      <c r="H410" s="148"/>
      <c r="I410" s="148">
        <f t="shared" si="181"/>
        <v>0</v>
      </c>
      <c r="J410" s="148">
        <f t="shared" si="184"/>
        <v>0</v>
      </c>
      <c r="K410" s="148"/>
      <c r="L410" s="149">
        <f t="shared" si="185"/>
        <v>0</v>
      </c>
      <c r="M410" s="149"/>
    </row>
    <row r="411" spans="2:13" hidden="1">
      <c r="B411" s="137">
        <f t="shared" si="176"/>
        <v>396</v>
      </c>
      <c r="C411" s="142">
        <f t="shared" si="178"/>
        <v>12051</v>
      </c>
      <c r="D411" s="148">
        <f t="shared" si="180"/>
        <v>0</v>
      </c>
      <c r="E411" s="148">
        <f t="shared" si="183"/>
        <v>0</v>
      </c>
      <c r="F411" s="148">
        <f t="shared" si="182"/>
        <v>0</v>
      </c>
      <c r="G411" s="148">
        <f t="shared" si="184"/>
        <v>0</v>
      </c>
      <c r="H411" s="148"/>
      <c r="I411" s="148">
        <f t="shared" si="181"/>
        <v>0</v>
      </c>
      <c r="J411" s="148">
        <f t="shared" si="184"/>
        <v>0</v>
      </c>
      <c r="K411" s="148"/>
      <c r="L411" s="149">
        <f t="shared" si="185"/>
        <v>0</v>
      </c>
      <c r="M411" s="149"/>
    </row>
    <row r="412" spans="2:13" hidden="1">
      <c r="B412" s="137">
        <f t="shared" si="176"/>
        <v>397</v>
      </c>
      <c r="C412" s="142">
        <f t="shared" si="178"/>
        <v>12082</v>
      </c>
      <c r="D412" s="148">
        <f t="shared" si="180"/>
        <v>0</v>
      </c>
      <c r="E412" s="148">
        <f t="shared" si="183"/>
        <v>0</v>
      </c>
      <c r="F412" s="148">
        <f t="shared" si="182"/>
        <v>0</v>
      </c>
      <c r="G412" s="148">
        <f>ROUND(M411*$K$7*YEARFRAC(C411,C412),2)</f>
        <v>0</v>
      </c>
      <c r="H412" s="148"/>
      <c r="I412" s="148">
        <f t="shared" si="181"/>
        <v>0</v>
      </c>
      <c r="J412" s="148">
        <f>ROUND(M411*$K$8*YEARFRAC(C411,C412),2)</f>
        <v>0</v>
      </c>
      <c r="K412" s="148"/>
      <c r="L412" s="149">
        <f t="shared" si="185"/>
        <v>0</v>
      </c>
      <c r="M412" s="149"/>
    </row>
    <row r="413" spans="2:13" hidden="1">
      <c r="B413" s="137">
        <f t="shared" si="176"/>
        <v>398</v>
      </c>
      <c r="C413" s="142">
        <f t="shared" si="178"/>
        <v>12113</v>
      </c>
      <c r="D413" s="148">
        <f t="shared" si="180"/>
        <v>0</v>
      </c>
      <c r="E413" s="148">
        <f t="shared" si="183"/>
        <v>0</v>
      </c>
      <c r="F413" s="148">
        <f t="shared" si="182"/>
        <v>0</v>
      </c>
      <c r="G413" s="148">
        <f>G412</f>
        <v>0</v>
      </c>
      <c r="H413" s="148"/>
      <c r="I413" s="148">
        <f t="shared" si="181"/>
        <v>0</v>
      </c>
      <c r="J413" s="148">
        <f>J412</f>
        <v>0</v>
      </c>
      <c r="K413" s="148"/>
      <c r="L413" s="149">
        <f t="shared" si="185"/>
        <v>0</v>
      </c>
      <c r="M413" s="149"/>
    </row>
    <row r="414" spans="2:13" hidden="1">
      <c r="B414" s="137">
        <f t="shared" si="176"/>
        <v>399</v>
      </c>
      <c r="C414" s="142">
        <f t="shared" si="178"/>
        <v>12141</v>
      </c>
      <c r="D414" s="148">
        <f t="shared" si="180"/>
        <v>0</v>
      </c>
      <c r="E414" s="148">
        <f t="shared" si="183"/>
        <v>0</v>
      </c>
      <c r="F414" s="148">
        <f t="shared" si="182"/>
        <v>0</v>
      </c>
      <c r="G414" s="148">
        <f t="shared" ref="G414:J423" si="186">G413</f>
        <v>0</v>
      </c>
      <c r="H414" s="148"/>
      <c r="I414" s="148">
        <f t="shared" si="181"/>
        <v>0</v>
      </c>
      <c r="J414" s="148">
        <f t="shared" si="186"/>
        <v>0</v>
      </c>
      <c r="K414" s="148"/>
      <c r="L414" s="149">
        <f t="shared" si="185"/>
        <v>0</v>
      </c>
      <c r="M414" s="149"/>
    </row>
    <row r="415" spans="2:13" hidden="1">
      <c r="B415" s="137">
        <f t="shared" si="176"/>
        <v>400</v>
      </c>
      <c r="C415" s="142">
        <f t="shared" si="178"/>
        <v>12172</v>
      </c>
      <c r="D415" s="148">
        <f t="shared" si="180"/>
        <v>0</v>
      </c>
      <c r="E415" s="148">
        <f t="shared" si="183"/>
        <v>0</v>
      </c>
      <c r="F415" s="148">
        <f t="shared" si="182"/>
        <v>0</v>
      </c>
      <c r="G415" s="148">
        <f t="shared" si="186"/>
        <v>0</v>
      </c>
      <c r="H415" s="148"/>
      <c r="I415" s="148">
        <f t="shared" si="181"/>
        <v>0</v>
      </c>
      <c r="J415" s="148">
        <f t="shared" si="186"/>
        <v>0</v>
      </c>
      <c r="K415" s="148"/>
      <c r="L415" s="149">
        <f t="shared" si="185"/>
        <v>0</v>
      </c>
      <c r="M415" s="149"/>
    </row>
    <row r="416" spans="2:13" hidden="1">
      <c r="B416" s="137">
        <f t="shared" si="176"/>
        <v>401</v>
      </c>
      <c r="C416" s="142">
        <f t="shared" si="178"/>
        <v>12202</v>
      </c>
      <c r="D416" s="148">
        <f t="shared" si="180"/>
        <v>0</v>
      </c>
      <c r="E416" s="148">
        <f t="shared" si="183"/>
        <v>0</v>
      </c>
      <c r="F416" s="148">
        <f t="shared" si="182"/>
        <v>0</v>
      </c>
      <c r="G416" s="148">
        <f t="shared" si="186"/>
        <v>0</v>
      </c>
      <c r="H416" s="148"/>
      <c r="I416" s="148">
        <f t="shared" si="181"/>
        <v>0</v>
      </c>
      <c r="J416" s="148">
        <f t="shared" si="186"/>
        <v>0</v>
      </c>
      <c r="K416" s="148"/>
      <c r="L416" s="149">
        <f t="shared" si="185"/>
        <v>0</v>
      </c>
      <c r="M416" s="149"/>
    </row>
    <row r="417" spans="2:13" hidden="1">
      <c r="B417" s="137">
        <f t="shared" si="176"/>
        <v>402</v>
      </c>
      <c r="C417" s="142">
        <f t="shared" si="178"/>
        <v>12233</v>
      </c>
      <c r="D417" s="148">
        <f t="shared" si="180"/>
        <v>0</v>
      </c>
      <c r="E417" s="148">
        <f t="shared" si="183"/>
        <v>0</v>
      </c>
      <c r="F417" s="148">
        <f t="shared" si="182"/>
        <v>0</v>
      </c>
      <c r="G417" s="148">
        <f t="shared" si="186"/>
        <v>0</v>
      </c>
      <c r="H417" s="148"/>
      <c r="I417" s="148">
        <f>ROUND($K$6*(M417+2*E436+2*G436),2)/12</f>
        <v>0</v>
      </c>
      <c r="J417" s="148">
        <f t="shared" si="186"/>
        <v>0</v>
      </c>
      <c r="K417" s="148"/>
      <c r="L417" s="149">
        <f t="shared" si="185"/>
        <v>0</v>
      </c>
      <c r="M417" s="149"/>
    </row>
    <row r="418" spans="2:13" hidden="1">
      <c r="B418" s="137">
        <f t="shared" si="176"/>
        <v>403</v>
      </c>
      <c r="C418" s="142">
        <f t="shared" si="178"/>
        <v>12263</v>
      </c>
      <c r="D418" s="148">
        <f t="shared" si="180"/>
        <v>0</v>
      </c>
      <c r="E418" s="148">
        <f t="shared" si="183"/>
        <v>0</v>
      </c>
      <c r="F418" s="148">
        <f t="shared" si="182"/>
        <v>0</v>
      </c>
      <c r="G418" s="148">
        <f t="shared" si="186"/>
        <v>0</v>
      </c>
      <c r="H418" s="148"/>
      <c r="I418" s="148">
        <f>ROUND($K$6*(M418+2*E437+2*G437),2)/12</f>
        <v>0</v>
      </c>
      <c r="J418" s="148">
        <f t="shared" si="186"/>
        <v>0</v>
      </c>
      <c r="K418" s="148"/>
      <c r="L418" s="149">
        <f t="shared" si="185"/>
        <v>0</v>
      </c>
      <c r="M418" s="149"/>
    </row>
    <row r="419" spans="2:13" hidden="1">
      <c r="B419" s="137">
        <f t="shared" si="176"/>
        <v>404</v>
      </c>
      <c r="C419" s="142">
        <f t="shared" ref="C419" si="187">EDATE(C418,1)</f>
        <v>12294</v>
      </c>
      <c r="D419" s="148">
        <f t="shared" si="180"/>
        <v>0</v>
      </c>
      <c r="E419" s="148">
        <f t="shared" si="183"/>
        <v>0</v>
      </c>
      <c r="F419" s="148">
        <f t="shared" si="182"/>
        <v>0</v>
      </c>
      <c r="G419" s="148">
        <f t="shared" si="186"/>
        <v>0</v>
      </c>
      <c r="H419" s="148"/>
      <c r="I419" s="148">
        <f>ROUND($K$6*(M419+2*E438+2*G438),2)/12</f>
        <v>0</v>
      </c>
      <c r="J419" s="148">
        <f t="shared" si="186"/>
        <v>0</v>
      </c>
      <c r="K419" s="148"/>
      <c r="L419" s="149">
        <f t="shared" si="185"/>
        <v>0</v>
      </c>
      <c r="M419" s="149"/>
    </row>
    <row r="420" spans="2:13" hidden="1">
      <c r="B420" s="137">
        <f t="shared" si="176"/>
        <v>405</v>
      </c>
      <c r="C420" s="142">
        <f t="shared" ref="C420" si="188">EDATE(C419,1)</f>
        <v>12325</v>
      </c>
      <c r="D420" s="148">
        <f t="shared" si="180"/>
        <v>0</v>
      </c>
      <c r="E420" s="148">
        <f t="shared" si="183"/>
        <v>0</v>
      </c>
      <c r="F420" s="148">
        <f t="shared" si="182"/>
        <v>0</v>
      </c>
      <c r="G420" s="148">
        <f t="shared" si="186"/>
        <v>0</v>
      </c>
      <c r="H420" s="148"/>
      <c r="I420" s="148">
        <f>ROUND($K$6*(M420+2*E439+2*G439),2)/12</f>
        <v>0</v>
      </c>
      <c r="J420" s="148">
        <f t="shared" si="186"/>
        <v>0</v>
      </c>
      <c r="K420" s="148"/>
      <c r="L420" s="149">
        <f t="shared" si="185"/>
        <v>0</v>
      </c>
      <c r="M420" s="149"/>
    </row>
    <row r="421" spans="2:13" hidden="1">
      <c r="B421" s="137">
        <f t="shared" si="176"/>
        <v>406</v>
      </c>
      <c r="C421" s="142">
        <f t="shared" ref="C421" si="189">EDATE(C420,1)</f>
        <v>12355</v>
      </c>
      <c r="D421" s="148">
        <f t="shared" si="180"/>
        <v>0</v>
      </c>
      <c r="E421" s="148">
        <f t="shared" si="183"/>
        <v>0</v>
      </c>
      <c r="F421" s="148">
        <f t="shared" si="182"/>
        <v>0</v>
      </c>
      <c r="G421" s="148">
        <f t="shared" si="186"/>
        <v>0</v>
      </c>
      <c r="H421" s="148"/>
      <c r="I421" s="148">
        <f>ROUND($K$6*(M421+2*E440+2*G440),2)/12</f>
        <v>0</v>
      </c>
      <c r="J421" s="148">
        <f t="shared" si="186"/>
        <v>0</v>
      </c>
      <c r="K421" s="148"/>
      <c r="L421" s="149">
        <f t="shared" si="185"/>
        <v>0</v>
      </c>
      <c r="M421" s="149"/>
    </row>
    <row r="422" spans="2:13" hidden="1">
      <c r="B422" s="137">
        <f t="shared" si="176"/>
        <v>407</v>
      </c>
      <c r="C422" s="142">
        <f t="shared" ref="C422" si="190">EDATE(C421,1)</f>
        <v>12386</v>
      </c>
      <c r="D422" s="148">
        <f t="shared" si="180"/>
        <v>0</v>
      </c>
      <c r="E422" s="148">
        <f t="shared" si="183"/>
        <v>0</v>
      </c>
      <c r="F422" s="148">
        <f t="shared" si="182"/>
        <v>0</v>
      </c>
      <c r="G422" s="148">
        <f t="shared" si="186"/>
        <v>0</v>
      </c>
      <c r="H422" s="148"/>
      <c r="I422" s="148">
        <f t="shared" ref="I422:I435" si="191">ROUND($K$6*(M422+2*E437+2*G437),2)/12</f>
        <v>0</v>
      </c>
      <c r="J422" s="148">
        <f t="shared" si="186"/>
        <v>0</v>
      </c>
      <c r="K422" s="148"/>
      <c r="L422" s="149">
        <f t="shared" si="185"/>
        <v>0</v>
      </c>
      <c r="M422" s="149"/>
    </row>
    <row r="423" spans="2:13" hidden="1">
      <c r="B423" s="137">
        <f t="shared" si="176"/>
        <v>408</v>
      </c>
      <c r="C423" s="142">
        <f t="shared" ref="C423" si="192">EDATE(C422,1)</f>
        <v>12416</v>
      </c>
      <c r="D423" s="148">
        <f t="shared" si="180"/>
        <v>0</v>
      </c>
      <c r="E423" s="148">
        <f t="shared" si="183"/>
        <v>0</v>
      </c>
      <c r="F423" s="148">
        <f t="shared" si="182"/>
        <v>0</v>
      </c>
      <c r="G423" s="148">
        <f t="shared" si="186"/>
        <v>0</v>
      </c>
      <c r="H423" s="148"/>
      <c r="I423" s="148">
        <f t="shared" si="191"/>
        <v>0</v>
      </c>
      <c r="J423" s="148">
        <f t="shared" si="186"/>
        <v>0</v>
      </c>
      <c r="K423" s="148"/>
      <c r="L423" s="149">
        <f t="shared" si="185"/>
        <v>0</v>
      </c>
      <c r="M423" s="149"/>
    </row>
    <row r="424" spans="2:13" hidden="1">
      <c r="B424" s="137">
        <f t="shared" si="176"/>
        <v>409</v>
      </c>
      <c r="C424" s="142">
        <f t="shared" ref="C424" si="193">EDATE(C423,1)</f>
        <v>12447</v>
      </c>
      <c r="D424" s="148">
        <f t="shared" si="180"/>
        <v>0</v>
      </c>
      <c r="E424" s="148">
        <f t="shared" si="183"/>
        <v>0</v>
      </c>
      <c r="F424" s="148">
        <f t="shared" si="182"/>
        <v>0</v>
      </c>
      <c r="G424" s="148">
        <f>ROUND(M423*$K$7*YEARFRAC(C423,C424),2)</f>
        <v>0</v>
      </c>
      <c r="H424" s="148"/>
      <c r="I424" s="148">
        <f t="shared" si="191"/>
        <v>0</v>
      </c>
      <c r="J424" s="148">
        <f>ROUND(M423*$K$8*YEARFRAC(C423,C424),2)</f>
        <v>0</v>
      </c>
      <c r="K424" s="148"/>
      <c r="L424" s="149">
        <f t="shared" si="185"/>
        <v>0</v>
      </c>
      <c r="M424" s="149"/>
    </row>
    <row r="425" spans="2:13" hidden="1">
      <c r="B425" s="137">
        <f t="shared" si="176"/>
        <v>410</v>
      </c>
      <c r="C425" s="142">
        <f t="shared" ref="C425" si="194">EDATE(C424,1)</f>
        <v>12478</v>
      </c>
      <c r="D425" s="148">
        <f t="shared" si="180"/>
        <v>0</v>
      </c>
      <c r="E425" s="148">
        <f t="shared" si="183"/>
        <v>0</v>
      </c>
      <c r="F425" s="148">
        <f t="shared" si="182"/>
        <v>0</v>
      </c>
      <c r="G425" s="148">
        <f>G424</f>
        <v>0</v>
      </c>
      <c r="H425" s="148"/>
      <c r="I425" s="148">
        <f t="shared" si="191"/>
        <v>0</v>
      </c>
      <c r="J425" s="148">
        <f>J424</f>
        <v>0</v>
      </c>
      <c r="K425" s="148"/>
      <c r="L425" s="149">
        <f t="shared" si="185"/>
        <v>0</v>
      </c>
      <c r="M425" s="149"/>
    </row>
    <row r="426" spans="2:13" hidden="1">
      <c r="B426" s="137">
        <f t="shared" si="176"/>
        <v>411</v>
      </c>
      <c r="C426" s="142">
        <f t="shared" ref="C426" si="195">EDATE(C425,1)</f>
        <v>12506</v>
      </c>
      <c r="D426" s="148">
        <f t="shared" si="180"/>
        <v>0</v>
      </c>
      <c r="E426" s="148">
        <f t="shared" si="183"/>
        <v>0</v>
      </c>
      <c r="F426" s="148">
        <f t="shared" si="182"/>
        <v>0</v>
      </c>
      <c r="G426" s="148">
        <f t="shared" ref="G426:J435" si="196">G425</f>
        <v>0</v>
      </c>
      <c r="H426" s="148"/>
      <c r="I426" s="148">
        <f t="shared" si="191"/>
        <v>0</v>
      </c>
      <c r="J426" s="148">
        <f t="shared" si="196"/>
        <v>0</v>
      </c>
      <c r="K426" s="148"/>
      <c r="L426" s="149">
        <f t="shared" si="185"/>
        <v>0</v>
      </c>
      <c r="M426" s="149"/>
    </row>
    <row r="427" spans="2:13" hidden="1">
      <c r="B427" s="137">
        <f t="shared" si="176"/>
        <v>412</v>
      </c>
      <c r="C427" s="142">
        <f t="shared" ref="C427" si="197">EDATE(C426,1)</f>
        <v>12537</v>
      </c>
      <c r="D427" s="148">
        <f t="shared" si="180"/>
        <v>0</v>
      </c>
      <c r="E427" s="148">
        <f t="shared" si="183"/>
        <v>0</v>
      </c>
      <c r="F427" s="148">
        <f t="shared" si="182"/>
        <v>0</v>
      </c>
      <c r="G427" s="148">
        <f t="shared" si="196"/>
        <v>0</v>
      </c>
      <c r="H427" s="148"/>
      <c r="I427" s="148">
        <f t="shared" si="191"/>
        <v>0</v>
      </c>
      <c r="J427" s="148">
        <f t="shared" si="196"/>
        <v>0</v>
      </c>
      <c r="K427" s="148"/>
      <c r="L427" s="149">
        <f t="shared" si="185"/>
        <v>0</v>
      </c>
      <c r="M427" s="149"/>
    </row>
    <row r="428" spans="2:13" hidden="1">
      <c r="B428" s="137">
        <f t="shared" si="176"/>
        <v>413</v>
      </c>
      <c r="C428" s="142">
        <f t="shared" ref="C428" si="198">EDATE(C427,1)</f>
        <v>12567</v>
      </c>
      <c r="D428" s="148">
        <f t="shared" si="180"/>
        <v>0</v>
      </c>
      <c r="E428" s="148">
        <f t="shared" si="183"/>
        <v>0</v>
      </c>
      <c r="F428" s="148">
        <f t="shared" si="182"/>
        <v>0</v>
      </c>
      <c r="G428" s="148">
        <f t="shared" si="196"/>
        <v>0</v>
      </c>
      <c r="H428" s="148"/>
      <c r="I428" s="148">
        <f t="shared" si="191"/>
        <v>0</v>
      </c>
      <c r="J428" s="148">
        <f t="shared" si="196"/>
        <v>0</v>
      </c>
      <c r="K428" s="148"/>
      <c r="L428" s="149">
        <f t="shared" si="185"/>
        <v>0</v>
      </c>
      <c r="M428" s="149"/>
    </row>
    <row r="429" spans="2:13" hidden="1">
      <c r="B429" s="137">
        <f t="shared" si="176"/>
        <v>414</v>
      </c>
      <c r="C429" s="142">
        <f t="shared" ref="C429" si="199">EDATE(C428,1)</f>
        <v>12598</v>
      </c>
      <c r="D429" s="148">
        <f t="shared" si="180"/>
        <v>0</v>
      </c>
      <c r="E429" s="148">
        <f t="shared" si="183"/>
        <v>0</v>
      </c>
      <c r="F429" s="148">
        <f t="shared" si="182"/>
        <v>0</v>
      </c>
      <c r="G429" s="148">
        <f t="shared" si="196"/>
        <v>0</v>
      </c>
      <c r="H429" s="148"/>
      <c r="I429" s="148">
        <f t="shared" si="191"/>
        <v>0</v>
      </c>
      <c r="J429" s="148">
        <f t="shared" si="196"/>
        <v>0</v>
      </c>
      <c r="K429" s="148"/>
      <c r="L429" s="149">
        <f t="shared" si="185"/>
        <v>0</v>
      </c>
      <c r="M429" s="149"/>
    </row>
    <row r="430" spans="2:13" hidden="1">
      <c r="B430" s="137">
        <f t="shared" si="176"/>
        <v>415</v>
      </c>
      <c r="C430" s="142">
        <f t="shared" ref="C430" si="200">EDATE(C429,1)</f>
        <v>12628</v>
      </c>
      <c r="D430" s="148">
        <f t="shared" si="180"/>
        <v>0</v>
      </c>
      <c r="E430" s="148">
        <f t="shared" si="183"/>
        <v>0</v>
      </c>
      <c r="F430" s="148">
        <f t="shared" si="182"/>
        <v>0</v>
      </c>
      <c r="G430" s="148">
        <f t="shared" si="196"/>
        <v>0</v>
      </c>
      <c r="H430" s="148"/>
      <c r="I430" s="148">
        <f t="shared" si="191"/>
        <v>0</v>
      </c>
      <c r="J430" s="148">
        <f t="shared" si="196"/>
        <v>0</v>
      </c>
      <c r="K430" s="148"/>
      <c r="L430" s="149">
        <f t="shared" si="185"/>
        <v>0</v>
      </c>
      <c r="M430" s="149"/>
    </row>
    <row r="431" spans="2:13" hidden="1">
      <c r="B431" s="137">
        <f t="shared" si="176"/>
        <v>416</v>
      </c>
      <c r="C431" s="142">
        <f t="shared" ref="C431" si="201">EDATE(C430,1)</f>
        <v>12659</v>
      </c>
      <c r="D431" s="148">
        <f t="shared" si="180"/>
        <v>0</v>
      </c>
      <c r="E431" s="148">
        <f t="shared" si="183"/>
        <v>0</v>
      </c>
      <c r="F431" s="148">
        <f t="shared" si="182"/>
        <v>0</v>
      </c>
      <c r="G431" s="148">
        <f t="shared" si="196"/>
        <v>0</v>
      </c>
      <c r="H431" s="148"/>
      <c r="I431" s="148">
        <f t="shared" si="191"/>
        <v>0</v>
      </c>
      <c r="J431" s="148">
        <f t="shared" si="196"/>
        <v>0</v>
      </c>
      <c r="K431" s="148"/>
      <c r="L431" s="149">
        <f t="shared" si="185"/>
        <v>0</v>
      </c>
      <c r="M431" s="149"/>
    </row>
    <row r="432" spans="2:13" hidden="1">
      <c r="B432" s="137">
        <f t="shared" si="176"/>
        <v>417</v>
      </c>
      <c r="C432" s="142">
        <f t="shared" ref="C432" si="202">EDATE(C431,1)</f>
        <v>12690</v>
      </c>
      <c r="D432" s="148">
        <f t="shared" si="180"/>
        <v>0</v>
      </c>
      <c r="E432" s="148">
        <f t="shared" si="183"/>
        <v>0</v>
      </c>
      <c r="F432" s="148">
        <f t="shared" si="182"/>
        <v>0</v>
      </c>
      <c r="G432" s="148">
        <f t="shared" si="196"/>
        <v>0</v>
      </c>
      <c r="H432" s="148"/>
      <c r="I432" s="148">
        <f t="shared" si="191"/>
        <v>0</v>
      </c>
      <c r="J432" s="148">
        <f t="shared" si="196"/>
        <v>0</v>
      </c>
      <c r="K432" s="148"/>
      <c r="L432" s="149">
        <f t="shared" si="185"/>
        <v>0</v>
      </c>
      <c r="M432" s="149"/>
    </row>
    <row r="433" spans="1:21" hidden="1">
      <c r="B433" s="137">
        <f t="shared" si="176"/>
        <v>418</v>
      </c>
      <c r="C433" s="142">
        <f t="shared" ref="C433" si="203">EDATE(C432,1)</f>
        <v>12720</v>
      </c>
      <c r="D433" s="148">
        <f t="shared" si="180"/>
        <v>0</v>
      </c>
      <c r="E433" s="148">
        <f t="shared" si="183"/>
        <v>0</v>
      </c>
      <c r="F433" s="148">
        <f t="shared" si="182"/>
        <v>0</v>
      </c>
      <c r="G433" s="148">
        <f t="shared" si="196"/>
        <v>0</v>
      </c>
      <c r="H433" s="148"/>
      <c r="I433" s="148">
        <f t="shared" si="191"/>
        <v>0</v>
      </c>
      <c r="J433" s="148">
        <f t="shared" si="196"/>
        <v>0</v>
      </c>
      <c r="K433" s="148"/>
      <c r="L433" s="149">
        <f t="shared" si="185"/>
        <v>0</v>
      </c>
      <c r="M433" s="149"/>
    </row>
    <row r="434" spans="1:21" hidden="1">
      <c r="B434" s="137">
        <f t="shared" ref="B434:B435" si="204">B433+1</f>
        <v>419</v>
      </c>
      <c r="C434" s="142">
        <f t="shared" ref="C434" si="205">EDATE(C433,1)</f>
        <v>12751</v>
      </c>
      <c r="D434" s="148">
        <f t="shared" si="180"/>
        <v>0</v>
      </c>
      <c r="E434" s="148">
        <f t="shared" si="183"/>
        <v>0</v>
      </c>
      <c r="F434" s="148">
        <f t="shared" si="182"/>
        <v>0</v>
      </c>
      <c r="G434" s="148">
        <f t="shared" si="196"/>
        <v>0</v>
      </c>
      <c r="H434" s="148"/>
      <c r="I434" s="148">
        <f t="shared" si="191"/>
        <v>0</v>
      </c>
      <c r="J434" s="148">
        <f t="shared" si="196"/>
        <v>0</v>
      </c>
      <c r="K434" s="148"/>
      <c r="L434" s="149">
        <f t="shared" si="185"/>
        <v>0</v>
      </c>
      <c r="M434" s="149"/>
    </row>
    <row r="435" spans="1:21" hidden="1">
      <c r="B435" s="137">
        <f t="shared" si="204"/>
        <v>420</v>
      </c>
      <c r="C435" s="142">
        <f t="shared" ref="C435" si="206">EDATE(C434,1)</f>
        <v>12781</v>
      </c>
      <c r="D435" s="148">
        <f t="shared" si="180"/>
        <v>0</v>
      </c>
      <c r="E435" s="148">
        <f t="shared" si="183"/>
        <v>0</v>
      </c>
      <c r="F435" s="148">
        <f t="shared" si="182"/>
        <v>0</v>
      </c>
      <c r="G435" s="148">
        <f t="shared" si="196"/>
        <v>0</v>
      </c>
      <c r="H435" s="148"/>
      <c r="I435" s="148">
        <f t="shared" si="191"/>
        <v>0</v>
      </c>
      <c r="J435" s="148">
        <f t="shared" si="196"/>
        <v>0</v>
      </c>
      <c r="K435" s="148"/>
      <c r="L435" s="149">
        <f t="shared" si="185"/>
        <v>0</v>
      </c>
      <c r="M435" s="149"/>
    </row>
    <row r="436" spans="1:21" s="124" customFormat="1" ht="16.5" thickBot="1">
      <c r="A436" s="1004"/>
      <c r="B436" s="196" t="s">
        <v>1</v>
      </c>
      <c r="C436" s="197"/>
      <c r="D436" s="198">
        <f t="shared" ref="D436:L436" si="207">SUM(D15:D375)</f>
        <v>0</v>
      </c>
      <c r="E436" s="198">
        <f t="shared" si="207"/>
        <v>0</v>
      </c>
      <c r="F436" s="198">
        <f t="shared" si="207"/>
        <v>0</v>
      </c>
      <c r="G436" s="198">
        <f t="shared" si="207"/>
        <v>0</v>
      </c>
      <c r="H436" s="198"/>
      <c r="I436" s="198">
        <f t="shared" si="207"/>
        <v>0</v>
      </c>
      <c r="J436" s="198">
        <f t="shared" si="207"/>
        <v>0</v>
      </c>
      <c r="K436" s="198">
        <f t="shared" si="207"/>
        <v>0</v>
      </c>
      <c r="L436" s="198">
        <f t="shared" si="207"/>
        <v>0</v>
      </c>
      <c r="M436" s="198"/>
      <c r="N436" s="1004"/>
      <c r="O436" s="1004"/>
      <c r="P436" s="1004"/>
      <c r="Q436" s="1004"/>
      <c r="R436" s="1004"/>
      <c r="S436" s="1004"/>
      <c r="T436" s="1004"/>
      <c r="U436" s="1004"/>
    </row>
    <row r="437" spans="1:21">
      <c r="B437" s="119"/>
      <c r="C437" s="119"/>
      <c r="D437" s="120"/>
      <c r="E437" s="125"/>
      <c r="F437" s="125"/>
      <c r="G437" s="116"/>
      <c r="H437" s="116"/>
      <c r="I437" s="116"/>
      <c r="J437" s="116"/>
      <c r="K437" s="116"/>
      <c r="L437" s="116"/>
      <c r="M437" s="116"/>
    </row>
    <row r="438" spans="1:21">
      <c r="B438" s="119"/>
      <c r="C438" s="119"/>
      <c r="D438" s="120"/>
      <c r="E438" s="116"/>
      <c r="F438" s="116"/>
      <c r="G438" s="116"/>
      <c r="H438" s="116"/>
      <c r="I438" s="116"/>
      <c r="J438" s="116"/>
      <c r="K438" s="116"/>
      <c r="L438" s="116"/>
      <c r="M438" s="116"/>
    </row>
    <row r="439" spans="1:21">
      <c r="B439" s="119"/>
      <c r="C439" s="119"/>
      <c r="D439" s="120"/>
      <c r="E439" s="116"/>
      <c r="F439" s="116"/>
      <c r="G439" s="116"/>
      <c r="H439" s="116"/>
      <c r="I439" s="116"/>
      <c r="J439" s="116"/>
      <c r="K439" s="116"/>
      <c r="L439" s="116"/>
      <c r="M439" s="116"/>
    </row>
    <row r="440" spans="1:21">
      <c r="B440" s="119"/>
      <c r="C440" s="119"/>
      <c r="D440" s="120"/>
      <c r="E440" s="116"/>
      <c r="F440" s="116"/>
      <c r="G440" s="116"/>
      <c r="H440" s="116"/>
      <c r="I440" s="116"/>
      <c r="J440" s="116"/>
      <c r="K440" s="116"/>
      <c r="L440" s="116"/>
      <c r="M440" s="116"/>
    </row>
    <row r="441" spans="1:21">
      <c r="B441" s="119"/>
      <c r="C441" s="119"/>
      <c r="D441" s="120"/>
      <c r="E441" s="116"/>
      <c r="F441" s="116"/>
      <c r="G441" s="116"/>
      <c r="H441" s="116"/>
      <c r="I441" s="116"/>
      <c r="J441" s="116"/>
      <c r="K441" s="116"/>
      <c r="L441" s="116"/>
      <c r="M441" s="116"/>
    </row>
    <row r="442" spans="1:21">
      <c r="B442" s="119"/>
      <c r="C442" s="119"/>
      <c r="D442" s="120"/>
      <c r="E442" s="116"/>
      <c r="F442" s="116"/>
      <c r="G442" s="116"/>
      <c r="H442" s="116"/>
      <c r="I442" s="116"/>
      <c r="J442" s="116"/>
      <c r="K442" s="116"/>
      <c r="L442" s="116"/>
      <c r="M442" s="116"/>
    </row>
    <row r="443" spans="1:21">
      <c r="B443" s="119"/>
      <c r="C443" s="119"/>
      <c r="D443" s="120"/>
      <c r="E443" s="116"/>
      <c r="F443" s="116"/>
      <c r="G443" s="116"/>
      <c r="H443" s="116"/>
      <c r="I443" s="116"/>
      <c r="J443" s="116"/>
      <c r="K443" s="116"/>
      <c r="L443" s="116"/>
      <c r="M443" s="116"/>
    </row>
    <row r="444" spans="1:21">
      <c r="B444" s="119"/>
      <c r="C444" s="119"/>
      <c r="D444" s="120"/>
      <c r="E444" s="116"/>
      <c r="F444" s="116"/>
      <c r="G444" s="116"/>
      <c r="H444" s="116"/>
      <c r="I444" s="116"/>
      <c r="J444" s="116"/>
      <c r="K444" s="116"/>
      <c r="L444" s="116"/>
      <c r="M444" s="116"/>
    </row>
    <row r="445" spans="1:21">
      <c r="B445" s="119"/>
      <c r="C445" s="119"/>
      <c r="D445" s="120"/>
      <c r="E445" s="116"/>
      <c r="F445" s="116"/>
      <c r="G445" s="116"/>
      <c r="H445" s="116"/>
      <c r="I445" s="116"/>
      <c r="J445" s="116"/>
      <c r="K445" s="116"/>
      <c r="L445" s="116"/>
      <c r="M445" s="116"/>
    </row>
    <row r="446" spans="1:21">
      <c r="B446" s="119"/>
      <c r="C446" s="119"/>
      <c r="D446" s="120"/>
      <c r="E446" s="117"/>
      <c r="F446" s="117"/>
      <c r="G446" s="116"/>
      <c r="H446" s="116"/>
      <c r="I446" s="116"/>
      <c r="J446" s="116"/>
      <c r="K446" s="116"/>
      <c r="L446" s="116"/>
      <c r="M446" s="116"/>
    </row>
    <row r="447" spans="1:21">
      <c r="B447" s="119"/>
      <c r="C447" s="119"/>
      <c r="D447" s="120"/>
      <c r="E447" s="116"/>
      <c r="F447" s="116"/>
      <c r="G447" s="116"/>
      <c r="H447" s="116"/>
      <c r="I447" s="116"/>
      <c r="J447" s="116"/>
      <c r="K447" s="116"/>
      <c r="L447" s="116"/>
      <c r="M447" s="116"/>
    </row>
    <row r="448" spans="1:21">
      <c r="B448" s="119"/>
      <c r="C448" s="119"/>
      <c r="D448" s="120"/>
      <c r="E448" s="116"/>
      <c r="F448" s="116"/>
      <c r="G448" s="116"/>
      <c r="H448" s="116"/>
      <c r="I448" s="116"/>
      <c r="J448" s="116"/>
      <c r="K448" s="116"/>
      <c r="L448" s="116"/>
      <c r="M448" s="116"/>
    </row>
    <row r="449" spans="2:15">
      <c r="B449" s="119"/>
      <c r="C449" s="119"/>
      <c r="D449" s="120"/>
      <c r="E449" s="116"/>
      <c r="F449" s="116"/>
      <c r="G449" s="116"/>
      <c r="H449" s="116"/>
      <c r="I449" s="116"/>
      <c r="J449" s="116"/>
      <c r="K449" s="116"/>
      <c r="L449" s="116"/>
      <c r="M449" s="116"/>
    </row>
    <row r="450" spans="2:15">
      <c r="B450" s="119"/>
      <c r="C450" s="119"/>
      <c r="D450" s="120"/>
      <c r="E450" s="116"/>
      <c r="F450" s="116"/>
      <c r="G450" s="116"/>
      <c r="H450" s="116"/>
      <c r="I450" s="116"/>
      <c r="J450" s="116"/>
      <c r="K450" s="116"/>
      <c r="L450" s="116"/>
      <c r="M450" s="116"/>
    </row>
    <row r="451" spans="2:15">
      <c r="B451" s="119"/>
      <c r="C451" s="119"/>
      <c r="D451" s="120"/>
      <c r="E451" s="116"/>
      <c r="F451" s="116"/>
      <c r="G451" s="116"/>
      <c r="H451" s="116"/>
      <c r="I451" s="116"/>
      <c r="J451" s="116"/>
      <c r="K451" s="116"/>
      <c r="L451" s="116"/>
      <c r="M451" s="116"/>
    </row>
    <row r="452" spans="2:15">
      <c r="B452" s="119"/>
      <c r="C452" s="119"/>
      <c r="D452" s="120"/>
      <c r="E452" s="116"/>
      <c r="F452" s="116"/>
      <c r="G452" s="116"/>
      <c r="H452" s="116"/>
      <c r="I452" s="116"/>
      <c r="J452" s="116"/>
      <c r="K452" s="116"/>
      <c r="L452" s="116"/>
      <c r="M452" s="116"/>
    </row>
    <row r="453" spans="2:15">
      <c r="B453" s="119"/>
      <c r="C453" s="119"/>
      <c r="D453" s="120"/>
      <c r="E453" s="116"/>
      <c r="F453" s="116"/>
      <c r="G453" s="116"/>
      <c r="H453" s="116"/>
      <c r="I453" s="116"/>
      <c r="J453" s="116"/>
      <c r="K453" s="116"/>
      <c r="L453" s="116"/>
      <c r="M453" s="116"/>
    </row>
    <row r="454" spans="2:15">
      <c r="B454" s="119"/>
      <c r="C454" s="119"/>
      <c r="D454" s="120"/>
      <c r="E454" s="116"/>
      <c r="F454" s="116"/>
      <c r="G454" s="116"/>
      <c r="H454" s="116"/>
      <c r="I454" s="116"/>
      <c r="J454" s="116"/>
      <c r="K454" s="116"/>
      <c r="L454" s="116"/>
      <c r="M454" s="116"/>
    </row>
    <row r="455" spans="2:15">
      <c r="B455" s="119"/>
      <c r="C455" s="119"/>
      <c r="D455" s="120"/>
      <c r="E455" s="116"/>
      <c r="F455" s="116"/>
      <c r="G455" s="116"/>
      <c r="H455" s="116"/>
      <c r="I455" s="116"/>
      <c r="J455" s="116"/>
      <c r="K455" s="116"/>
      <c r="L455" s="116"/>
      <c r="M455" s="116"/>
    </row>
    <row r="456" spans="2:15">
      <c r="B456" s="119"/>
      <c r="C456" s="119"/>
      <c r="D456" s="120"/>
      <c r="E456" s="116"/>
      <c r="F456" s="116"/>
      <c r="G456" s="116"/>
      <c r="H456" s="116"/>
      <c r="I456" s="116"/>
      <c r="J456" s="116"/>
      <c r="K456" s="116"/>
      <c r="L456" s="116"/>
      <c r="M456" s="116"/>
    </row>
    <row r="457" spans="2:15">
      <c r="B457" s="119"/>
      <c r="C457" s="119"/>
      <c r="D457" s="120"/>
      <c r="E457" s="116"/>
      <c r="F457" s="116"/>
      <c r="G457" s="116"/>
      <c r="H457" s="116"/>
      <c r="I457" s="116"/>
      <c r="J457" s="116"/>
      <c r="K457" s="116"/>
      <c r="L457" s="116"/>
      <c r="M457" s="116"/>
    </row>
    <row r="458" spans="2:15">
      <c r="B458" s="119"/>
      <c r="C458" s="119"/>
      <c r="D458" s="120"/>
      <c r="E458" s="116"/>
      <c r="F458" s="116"/>
      <c r="G458" s="116"/>
      <c r="H458" s="116"/>
      <c r="I458" s="116"/>
      <c r="J458" s="116"/>
      <c r="K458" s="116"/>
      <c r="L458" s="116"/>
      <c r="M458" s="116"/>
    </row>
    <row r="459" spans="2:15" ht="16.5" thickBot="1">
      <c r="B459" s="126"/>
      <c r="C459" s="127"/>
      <c r="D459" s="128"/>
      <c r="E459" s="129"/>
      <c r="F459" s="129"/>
      <c r="G459" s="129"/>
      <c r="H459" s="129"/>
      <c r="I459" s="129"/>
      <c r="J459" s="129"/>
      <c r="K459" s="129"/>
      <c r="L459" s="129"/>
      <c r="M459" s="129"/>
      <c r="N459" s="1008"/>
    </row>
    <row r="460" spans="2:15">
      <c r="B460" s="119"/>
      <c r="C460" s="119"/>
      <c r="D460" s="120"/>
      <c r="E460" s="121"/>
      <c r="F460" s="121"/>
      <c r="G460" s="122"/>
      <c r="H460" s="122"/>
      <c r="I460" s="122"/>
      <c r="J460" s="122"/>
      <c r="K460" s="122"/>
      <c r="L460" s="122"/>
      <c r="M460" s="122"/>
      <c r="N460" s="1008"/>
    </row>
    <row r="461" spans="2:15">
      <c r="B461" s="119"/>
      <c r="C461" s="119"/>
      <c r="D461" s="120"/>
      <c r="G461" s="130"/>
      <c r="H461" s="130"/>
      <c r="I461" s="119"/>
      <c r="J461" s="119"/>
      <c r="K461" s="119"/>
      <c r="L461" s="119"/>
      <c r="M461" s="119"/>
      <c r="N461" s="1013"/>
      <c r="O461" s="1013"/>
    </row>
    <row r="462" spans="2:15">
      <c r="B462" s="119"/>
      <c r="C462" s="119"/>
      <c r="D462" s="120"/>
      <c r="E462" s="131"/>
      <c r="F462" s="131"/>
      <c r="G462" s="132"/>
      <c r="H462" s="132"/>
      <c r="I462" s="133"/>
      <c r="J462" s="123"/>
      <c r="K462" s="123"/>
    </row>
    <row r="463" spans="2:15">
      <c r="B463" s="119"/>
      <c r="C463" s="119"/>
      <c r="D463" s="120"/>
    </row>
  </sheetData>
  <mergeCells count="17">
    <mergeCell ref="C13:C14"/>
    <mergeCell ref="H13:H14"/>
    <mergeCell ref="B1:C1"/>
    <mergeCell ref="B2:C2"/>
    <mergeCell ref="N339:P339"/>
    <mergeCell ref="B3:M3"/>
    <mergeCell ref="B13:B14"/>
    <mergeCell ref="N355:P355"/>
    <mergeCell ref="D13:D14"/>
    <mergeCell ref="E13:E14"/>
    <mergeCell ref="G13:G14"/>
    <mergeCell ref="I13:I14"/>
    <mergeCell ref="F13:F14"/>
    <mergeCell ref="J13:J14"/>
    <mergeCell ref="K13:K14"/>
    <mergeCell ref="L13:L14"/>
    <mergeCell ref="M13:M14"/>
  </mergeCells>
  <pageMargins left="0.7" right="0.7" top="0.75" bottom="0.75" header="0.3" footer="0.3"/>
  <pageSetup scale="36" fitToHeight="0" orientation="portrait" r:id="rId1"/>
  <headerFoot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B1:J38"/>
  <sheetViews>
    <sheetView defaultGridColor="0" topLeftCell="A13" colorId="22" zoomScale="90" zoomScaleNormal="90" zoomScaleSheetLayoutView="75" workbookViewId="0">
      <selection activeCell="H2" sqref="H2"/>
    </sheetView>
  </sheetViews>
  <sheetFormatPr defaultColWidth="9.77734375" defaultRowHeight="15"/>
  <cols>
    <col min="1" max="1" width="2.6640625" style="238" customWidth="1"/>
    <col min="2" max="2" width="41.5546875" style="238" customWidth="1"/>
    <col min="3" max="3" width="14.5546875" style="238" customWidth="1"/>
    <col min="4" max="4" width="12.6640625" style="243" customWidth="1"/>
    <col min="5" max="5" width="11" style="244" customWidth="1"/>
    <col min="6" max="6" width="1.21875" style="238" bestFit="1" customWidth="1"/>
    <col min="7" max="7" width="13.77734375" style="238" bestFit="1" customWidth="1"/>
    <col min="8" max="8" width="12" style="238" bestFit="1" customWidth="1"/>
    <col min="9" max="9" width="10.33203125" style="238" bestFit="1" customWidth="1"/>
    <col min="10" max="10" width="10.44140625" style="238" bestFit="1" customWidth="1"/>
    <col min="11" max="16384" width="9.77734375" style="238"/>
  </cols>
  <sheetData>
    <row r="1" spans="2:8" ht="15.75">
      <c r="B1" s="969" t="s">
        <v>394</v>
      </c>
      <c r="D1" s="239" t="s">
        <v>70</v>
      </c>
      <c r="E1" s="240">
        <f>'Units &amp; Income'!D16</f>
        <v>0</v>
      </c>
      <c r="F1" s="241"/>
    </row>
    <row r="2" spans="2:8">
      <c r="B2" s="970" t="s">
        <v>395</v>
      </c>
      <c r="C2" s="241"/>
      <c r="F2" s="241"/>
    </row>
    <row r="3" spans="2:8" ht="25.5" customHeight="1">
      <c r="B3" s="245" t="s">
        <v>8</v>
      </c>
      <c r="C3" s="259"/>
      <c r="D3" s="259"/>
      <c r="E3" s="259"/>
      <c r="F3" s="246"/>
      <c r="G3" s="247"/>
    </row>
    <row r="4" spans="2:8">
      <c r="B4" s="447"/>
      <c r="C4" s="448" t="s">
        <v>56</v>
      </c>
      <c r="D4" s="449" t="s">
        <v>223</v>
      </c>
      <c r="E4" s="450" t="s">
        <v>43</v>
      </c>
      <c r="F4" s="246"/>
    </row>
    <row r="5" spans="2:8" ht="24" customHeight="1">
      <c r="B5" s="451" t="s">
        <v>23</v>
      </c>
      <c r="C5" s="261"/>
      <c r="D5" s="262"/>
      <c r="E5" s="452"/>
      <c r="F5" s="246"/>
    </row>
    <row r="6" spans="2:8">
      <c r="B6" s="453" t="s">
        <v>217</v>
      </c>
      <c r="C6" s="263">
        <f>C18</f>
        <v>0</v>
      </c>
      <c r="D6" s="264" t="e">
        <f>C6/'Units &amp; Income'!$D$16</f>
        <v>#DIV/0!</v>
      </c>
      <c r="E6" s="452" t="e">
        <f t="shared" ref="E6:E13" si="0">C6/$C$14</f>
        <v>#DIV/0!</v>
      </c>
      <c r="F6" s="249" t="s">
        <v>40</v>
      </c>
      <c r="G6" s="247"/>
    </row>
    <row r="7" spans="2:8">
      <c r="B7" s="453" t="s">
        <v>218</v>
      </c>
      <c r="C7" s="263">
        <f>(('Development Budget'!I78+'Development Budget'!D8)*0.53)-'Sources and Uses'!C6</f>
        <v>0</v>
      </c>
      <c r="D7" s="264" t="e">
        <f>C7/'Units &amp; Income'!$D$16</f>
        <v>#DIV/0!</v>
      </c>
      <c r="E7" s="452" t="e">
        <f t="shared" si="0"/>
        <v>#DIV/0!</v>
      </c>
      <c r="F7" s="246"/>
      <c r="G7" s="250"/>
      <c r="H7" s="251"/>
    </row>
    <row r="8" spans="2:8">
      <c r="B8" s="944">
        <f t="shared" ref="B8:C11" si="1">B19</f>
        <v>0</v>
      </c>
      <c r="C8" s="263">
        <f t="shared" si="1"/>
        <v>0</v>
      </c>
      <c r="D8" s="264" t="e">
        <f>C8/'Units &amp; Income'!$D$16</f>
        <v>#DIV/0!</v>
      </c>
      <c r="E8" s="452" t="e">
        <f t="shared" si="0"/>
        <v>#DIV/0!</v>
      </c>
      <c r="F8" s="246"/>
      <c r="G8" s="250"/>
    </row>
    <row r="9" spans="2:8">
      <c r="B9" s="944">
        <f t="shared" si="1"/>
        <v>0</v>
      </c>
      <c r="C9" s="263">
        <f t="shared" si="1"/>
        <v>0</v>
      </c>
      <c r="D9" s="264" t="e">
        <f>C9/'Units &amp; Income'!$D$16</f>
        <v>#DIV/0!</v>
      </c>
      <c r="E9" s="452" t="e">
        <f t="shared" si="0"/>
        <v>#DIV/0!</v>
      </c>
      <c r="F9" s="246"/>
    </row>
    <row r="10" spans="2:8">
      <c r="B10" s="454">
        <f t="shared" si="1"/>
        <v>0</v>
      </c>
      <c r="C10" s="263">
        <f t="shared" si="1"/>
        <v>0</v>
      </c>
      <c r="D10" s="264" t="e">
        <f>C10/'Units &amp; Income'!$D$16</f>
        <v>#DIV/0!</v>
      </c>
      <c r="E10" s="452" t="e">
        <f t="shared" si="0"/>
        <v>#DIV/0!</v>
      </c>
      <c r="F10" s="246"/>
    </row>
    <row r="11" spans="2:8">
      <c r="B11" s="454">
        <f t="shared" si="1"/>
        <v>0</v>
      </c>
      <c r="C11" s="263">
        <f t="shared" si="1"/>
        <v>0</v>
      </c>
      <c r="D11" s="264" t="e">
        <f>C11/'Units &amp; Income'!$D$16</f>
        <v>#DIV/0!</v>
      </c>
      <c r="E11" s="452" t="e">
        <f t="shared" si="0"/>
        <v>#DIV/0!</v>
      </c>
      <c r="F11" s="246"/>
    </row>
    <row r="12" spans="2:8">
      <c r="B12" s="454" t="str">
        <f>B23</f>
        <v>Low Income Housing Tax Credits</v>
      </c>
      <c r="C12" s="960"/>
      <c r="D12" s="264" t="e">
        <f>C12/'Units &amp; Income'!$D$16</f>
        <v>#DIV/0!</v>
      </c>
      <c r="E12" s="452" t="e">
        <f t="shared" si="0"/>
        <v>#DIV/0!</v>
      </c>
      <c r="F12" s="246"/>
    </row>
    <row r="13" spans="2:8">
      <c r="B13" s="454" t="str">
        <f t="shared" ref="B13" si="2">B24</f>
        <v>Deferred Developer Fee</v>
      </c>
      <c r="C13" s="960"/>
      <c r="D13" s="265" t="e">
        <f>C13/'Units &amp; Income'!$D$16</f>
        <v>#DIV/0!</v>
      </c>
      <c r="E13" s="452" t="e">
        <f t="shared" si="0"/>
        <v>#DIV/0!</v>
      </c>
      <c r="F13" s="248"/>
    </row>
    <row r="14" spans="2:8" ht="15.75">
      <c r="B14" s="463" t="s">
        <v>327</v>
      </c>
      <c r="C14" s="266">
        <f>SUM(C6:C13)</f>
        <v>0</v>
      </c>
      <c r="D14" s="267" t="e">
        <f>C14/'Units &amp; Income'!$D$16</f>
        <v>#DIV/0!</v>
      </c>
      <c r="E14" s="455" t="e">
        <f>SUM(E6:E13)</f>
        <v>#DIV/0!</v>
      </c>
      <c r="F14" s="246"/>
    </row>
    <row r="15" spans="2:8">
      <c r="B15" s="456" t="s">
        <v>110</v>
      </c>
      <c r="C15" s="268">
        <f>C14-C33</f>
        <v>0</v>
      </c>
      <c r="D15" s="264"/>
      <c r="E15" s="442"/>
      <c r="F15" s="246"/>
    </row>
    <row r="16" spans="2:8">
      <c r="B16" s="457" t="s">
        <v>270</v>
      </c>
      <c r="C16" s="270" t="e">
        <f>(C6+C7)/('Development Budget'!I78+'Development Budget'!D8)</f>
        <v>#DIV/0!</v>
      </c>
      <c r="D16" s="269" t="s">
        <v>271</v>
      </c>
      <c r="E16" s="458">
        <f>C6+C7</f>
        <v>0</v>
      </c>
      <c r="F16" s="246"/>
    </row>
    <row r="17" spans="2:10" ht="24" customHeight="1">
      <c r="B17" s="451" t="s">
        <v>22</v>
      </c>
      <c r="C17" s="261"/>
      <c r="D17" s="264"/>
      <c r="E17" s="442"/>
      <c r="F17" s="246"/>
    </row>
    <row r="18" spans="2:10">
      <c r="B18" s="454" t="str">
        <f>B6</f>
        <v>HFA First Mortgage</v>
      </c>
      <c r="C18" s="263">
        <f>Mortgage!C52</f>
        <v>0</v>
      </c>
      <c r="D18" s="264" t="e">
        <f>C18/'Units &amp; Income'!$D$16</f>
        <v>#DIV/0!</v>
      </c>
      <c r="E18" s="452" t="e">
        <f>C18/C25</f>
        <v>#DIV/0!</v>
      </c>
      <c r="F18" s="246"/>
    </row>
    <row r="19" spans="2:10">
      <c r="B19" s="944">
        <f>Mortgage!C55</f>
        <v>0</v>
      </c>
      <c r="C19" s="263">
        <f>Mortgage!C56</f>
        <v>0</v>
      </c>
      <c r="D19" s="271" t="e">
        <f>C19/'Units &amp; Income'!$D$16</f>
        <v>#DIV/0!</v>
      </c>
      <c r="E19" s="452" t="e">
        <f t="shared" ref="E19:E24" si="3">C19/$C$25</f>
        <v>#DIV/0!</v>
      </c>
      <c r="F19" s="246"/>
    </row>
    <row r="20" spans="2:10">
      <c r="B20" s="945">
        <f>Mortgage!C66</f>
        <v>0</v>
      </c>
      <c r="C20" s="263">
        <f>Mortgage!C67</f>
        <v>0</v>
      </c>
      <c r="D20" s="264" t="e">
        <f>C20/'Units &amp; Income'!$D$16</f>
        <v>#DIV/0!</v>
      </c>
      <c r="E20" s="452" t="e">
        <f t="shared" si="3"/>
        <v>#DIV/0!</v>
      </c>
      <c r="F20" s="246"/>
    </row>
    <row r="21" spans="2:10">
      <c r="B21" s="945">
        <f>Mortgage!C77</f>
        <v>0</v>
      </c>
      <c r="C21" s="263">
        <f>Mortgage!C78</f>
        <v>0</v>
      </c>
      <c r="D21" s="264" t="e">
        <f>C21/'Units &amp; Income'!$D$16</f>
        <v>#DIV/0!</v>
      </c>
      <c r="E21" s="452" t="e">
        <f t="shared" si="3"/>
        <v>#DIV/0!</v>
      </c>
      <c r="F21" s="246"/>
    </row>
    <row r="22" spans="2:10">
      <c r="B22" s="945">
        <f>Mortgage!C88</f>
        <v>0</v>
      </c>
      <c r="C22" s="263">
        <f>Mortgage!C89</f>
        <v>0</v>
      </c>
      <c r="D22" s="264" t="e">
        <f>C22/'Units &amp; Income'!$D$16</f>
        <v>#DIV/0!</v>
      </c>
      <c r="E22" s="452" t="e">
        <f t="shared" si="3"/>
        <v>#DIV/0!</v>
      </c>
      <c r="F22" s="246"/>
    </row>
    <row r="23" spans="2:10">
      <c r="B23" s="453" t="s">
        <v>386</v>
      </c>
      <c r="C23" s="263" t="e">
        <f>'Development Budget'!N7</f>
        <v>#DIV/0!</v>
      </c>
      <c r="D23" s="264" t="e">
        <f>C23/'Units &amp; Income'!$D$16</f>
        <v>#DIV/0!</v>
      </c>
      <c r="E23" s="452" t="e">
        <f t="shared" si="3"/>
        <v>#DIV/0!</v>
      </c>
      <c r="F23" s="246"/>
      <c r="G23" s="247"/>
    </row>
    <row r="24" spans="2:10">
      <c r="B24" s="453" t="s">
        <v>131</v>
      </c>
      <c r="C24" s="263">
        <f>'Cash Flow Proforma'!D52</f>
        <v>0</v>
      </c>
      <c r="D24" s="265" t="e">
        <f>C24/'Units &amp; Income'!$D$16</f>
        <v>#DIV/0!</v>
      </c>
      <c r="E24" s="452" t="e">
        <f t="shared" si="3"/>
        <v>#DIV/0!</v>
      </c>
      <c r="F24" s="248"/>
      <c r="G24" s="253"/>
    </row>
    <row r="25" spans="2:10" ht="15.75">
      <c r="B25" s="463" t="s">
        <v>328</v>
      </c>
      <c r="C25" s="266" t="e">
        <f>SUM(C18:C24)</f>
        <v>#DIV/0!</v>
      </c>
      <c r="D25" s="267" t="e">
        <f>C25/'Units &amp; Income'!$D$16</f>
        <v>#DIV/0!</v>
      </c>
      <c r="E25" s="455" t="e">
        <f>SUM(E18:E24)</f>
        <v>#DIV/0!</v>
      </c>
      <c r="F25" s="246"/>
      <c r="G25" s="250"/>
      <c r="H25" s="254"/>
    </row>
    <row r="26" spans="2:10">
      <c r="B26" s="456" t="s">
        <v>110</v>
      </c>
      <c r="C26" s="268" t="e">
        <f>C25-C33</f>
        <v>#DIV/0!</v>
      </c>
      <c r="D26" s="264"/>
      <c r="E26" s="459"/>
      <c r="F26" s="246"/>
      <c r="G26" s="255"/>
    </row>
    <row r="27" spans="2:10" ht="24" customHeight="1">
      <c r="B27" s="451" t="s">
        <v>65</v>
      </c>
      <c r="C27" s="272"/>
      <c r="D27" s="264"/>
      <c r="E27" s="459"/>
      <c r="F27" s="246"/>
    </row>
    <row r="28" spans="2:10">
      <c r="B28" s="453" t="s">
        <v>152</v>
      </c>
      <c r="C28" s="273">
        <f>'Development Budget'!D9</f>
        <v>0</v>
      </c>
      <c r="D28" s="264" t="e">
        <f>C28/'Units &amp; Income'!$D$16</f>
        <v>#DIV/0!</v>
      </c>
      <c r="E28" s="460" t="e">
        <f>C28/$C$33</f>
        <v>#DIV/0!</v>
      </c>
      <c r="F28" s="246"/>
    </row>
    <row r="29" spans="2:10">
      <c r="B29" s="453" t="s">
        <v>221</v>
      </c>
      <c r="C29" s="274">
        <f>'Development Budget'!D25</f>
        <v>0</v>
      </c>
      <c r="D29" s="264" t="e">
        <f>C29/'Units &amp; Income'!$D$16</f>
        <v>#DIV/0!</v>
      </c>
      <c r="E29" s="460" t="e">
        <f>C29/$C$33</f>
        <v>#DIV/0!</v>
      </c>
      <c r="F29" s="246"/>
    </row>
    <row r="30" spans="2:10">
      <c r="B30" s="461" t="s">
        <v>75</v>
      </c>
      <c r="C30" s="274">
        <f>'Development Budget'!D72</f>
        <v>0</v>
      </c>
      <c r="D30" s="264" t="e">
        <f>C30/'Units &amp; Income'!$D$16</f>
        <v>#DIV/0!</v>
      </c>
      <c r="E30" s="460" t="e">
        <f>C30/$C$33</f>
        <v>#DIV/0!</v>
      </c>
      <c r="F30" s="246"/>
    </row>
    <row r="31" spans="2:10">
      <c r="B31" s="462" t="s">
        <v>220</v>
      </c>
      <c r="C31" s="274">
        <f>'Development Budget'!D76</f>
        <v>0</v>
      </c>
      <c r="D31" s="264" t="e">
        <f>C31/'Units &amp; Income'!$D$16</f>
        <v>#DIV/0!</v>
      </c>
      <c r="E31" s="460" t="e">
        <f>C31/$C$33</f>
        <v>#DIV/0!</v>
      </c>
      <c r="F31" s="246"/>
    </row>
    <row r="32" spans="2:10">
      <c r="B32" s="461" t="s">
        <v>222</v>
      </c>
      <c r="C32" s="274">
        <f>'Development Budget'!D74</f>
        <v>0</v>
      </c>
      <c r="D32" s="264" t="e">
        <f>C32/'Units &amp; Income'!$D$16</f>
        <v>#DIV/0!</v>
      </c>
      <c r="E32" s="460" t="e">
        <f>C32/$C$33</f>
        <v>#DIV/0!</v>
      </c>
      <c r="F32" s="246"/>
      <c r="J32" s="250"/>
    </row>
    <row r="33" spans="2:6" ht="15.75">
      <c r="B33" s="961" t="s">
        <v>329</v>
      </c>
      <c r="C33" s="962">
        <f>SUM(C28:C32)</f>
        <v>0</v>
      </c>
      <c r="D33" s="963" t="e">
        <f>C33/'Units &amp; Income'!$D$16</f>
        <v>#DIV/0!</v>
      </c>
      <c r="E33" s="964" t="e">
        <f>SUM(E28:E32)</f>
        <v>#DIV/0!</v>
      </c>
      <c r="F33" s="246"/>
    </row>
    <row r="34" spans="2:6">
      <c r="B34" s="256"/>
      <c r="C34" s="256"/>
      <c r="D34" s="257"/>
      <c r="E34" s="258"/>
      <c r="F34" s="256"/>
    </row>
    <row r="36" spans="2:6">
      <c r="B36" s="252"/>
    </row>
    <row r="37" spans="2:6">
      <c r="B37" s="252"/>
    </row>
    <row r="38" spans="2:6">
      <c r="B38" s="252"/>
    </row>
  </sheetData>
  <customSheetViews>
    <customSheetView guid="{25C4E7E7-1006-4A2D-BC83-AEE4ADF8A914}" scale="75" colorId="22" showPageBreaks="1" printArea="1" hiddenRows="1" showRuler="0">
      <selection activeCell="A33" sqref="A33"/>
      <pageMargins left="0.75" right="0.5" top="0.75" bottom="0.5" header="0.5" footer="0.5"/>
      <pageSetup scale="90" orientation="landscape" r:id="rId1"/>
      <headerFooter alignWithMargins="0"/>
    </customSheetView>
    <customSheetView guid="{28F81D13-D146-4D67-8981-BA5D7A496326}" scale="87" colorId="22" showPageBreaks="1" printArea="1" showRuler="0" topLeftCell="A7">
      <selection activeCell="H12" sqref="H12"/>
      <pageMargins left="0.5" right="0.5" top="0.5" bottom="0.5" header="0.5" footer="0.5"/>
      <pageSetup scale="96" orientation="landscape" r:id="rId2"/>
      <headerFooter alignWithMargins="0"/>
    </customSheetView>
    <customSheetView guid="{AEA5979F-5357-4ED6-A6CA-1BB80F5C7A74}" scale="87" colorId="22" showPageBreaks="1" printArea="1" showRuler="0">
      <selection activeCell="A21" sqref="A21"/>
      <pageMargins left="0.5" right="0.5" top="0.5" bottom="0.5" header="0.5" footer="0.5"/>
      <pageSetup scale="96" orientation="landscape" r:id="rId3"/>
      <headerFooter alignWithMargins="0"/>
    </customSheetView>
    <customSheetView guid="{EB776EFC-3589-4DB5-BEAF-1E83D9703F9E}" scale="87" colorId="22" showRuler="0" topLeftCell="A8">
      <selection activeCell="H21" sqref="H21"/>
      <pageMargins left="0.5" right="0.5" top="0.5" bottom="0.5" header="0.5" footer="0.5"/>
      <pageSetup orientation="landscape" r:id="rId4"/>
      <headerFooter alignWithMargins="0"/>
    </customSheetView>
    <customSheetView guid="{FBB4BF8E-8A9F-4E98-A6F9-5F9BF4C55C67}" scale="87" colorId="22" showPageBreaks="1" showRuler="0" topLeftCell="C5">
      <selection activeCell="I16" sqref="I16"/>
      <pageMargins left="0.5" right="0.5" top="0.5" bottom="0.5" header="0.5" footer="0.5"/>
      <pageSetup orientation="landscape" r:id="rId5"/>
      <headerFooter alignWithMargins="0"/>
    </customSheetView>
    <customSheetView guid="{6EF643BE-69F3-424E-8A44-3890161370D4}" scale="87" colorId="22" showPageBreaks="1" printArea="1" showRuler="0" topLeftCell="A4">
      <selection activeCell="H13" sqref="H13"/>
      <pageMargins left="0.5" right="0.5" top="0.5" bottom="0.5" header="0.5" footer="0.5"/>
      <pageSetup scale="96" orientation="landscape" r:id="rId6"/>
      <headerFooter alignWithMargins="0"/>
    </customSheetView>
    <customSheetView guid="{1ECE83C7-A3CE-4F97-BFD3-498FF783C0D9}" scale="75" colorId="22" showPageBreaks="1" printArea="1" showRuler="0" topLeftCell="A17">
      <selection activeCell="H29" sqref="H29"/>
      <pageMargins left="0.75" right="0.5" top="0.75" bottom="0.5" header="0.5" footer="0.5"/>
      <pageSetup scale="90" orientation="landscape" r:id="rId7"/>
      <headerFooter alignWithMargins="0"/>
    </customSheetView>
    <customSheetView guid="{560D4AFA-61E5-46C3-B0CD-D0EB3053A033}" scale="75" colorId="22" showPageBreaks="1" printArea="1" hiddenRows="1" showRuler="0">
      <selection activeCell="B7" sqref="B7:B14"/>
      <pageMargins left="0.75" right="0.5" top="0.75" bottom="0.5" header="0.5" footer="0.5"/>
      <pageSetup scale="90" orientation="landscape" r:id="rId8"/>
      <headerFooter alignWithMargins="0"/>
    </customSheetView>
  </customSheetViews>
  <phoneticPr fontId="0" type="noConversion"/>
  <pageMargins left="0.75" right="0.5" top="0.75" bottom="0.5" header="0.5" footer="0.5"/>
  <pageSetup scale="95" firstPageNumber="206" orientation="portrait" useFirstPageNumber="1" r:id="rId9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AK271"/>
  <sheetViews>
    <sheetView defaultGridColor="0" colorId="22" zoomScale="90" zoomScaleNormal="90" zoomScaleSheetLayoutView="70" workbookViewId="0">
      <selection activeCell="B17" sqref="B17"/>
    </sheetView>
  </sheetViews>
  <sheetFormatPr defaultColWidth="9.77734375" defaultRowHeight="15"/>
  <cols>
    <col min="1" max="1" width="4.88671875" style="241" customWidth="1"/>
    <col min="2" max="2" width="31.33203125" style="1" customWidth="1"/>
    <col min="3" max="3" width="2.77734375" style="241" customWidth="1"/>
    <col min="4" max="4" width="19.6640625" style="135" customWidth="1"/>
    <col min="5" max="5" width="7.33203125" style="238" customWidth="1"/>
    <col min="6" max="6" width="11.6640625" style="238" customWidth="1"/>
    <col min="7" max="7" width="15.88671875" style="717" customWidth="1"/>
    <col min="8" max="8" width="10.21875" style="321" customWidth="1"/>
    <col min="9" max="9" width="15.77734375" style="717" customWidth="1"/>
    <col min="10" max="10" width="11.21875" style="321" customWidth="1"/>
    <col min="11" max="11" width="9.77734375" style="238" customWidth="1"/>
    <col min="12" max="12" width="23.6640625" style="238" bestFit="1" customWidth="1"/>
    <col min="13" max="13" width="14.5546875" style="238" bestFit="1" customWidth="1"/>
    <col min="14" max="37" width="9.77734375" style="238"/>
    <col min="38" max="16384" width="9.77734375" style="1"/>
  </cols>
  <sheetData>
    <row r="1" spans="1:37" s="238" customFormat="1" ht="16.5" customHeight="1">
      <c r="A1" s="241"/>
      <c r="B1" s="997" t="str">
        <f>'Sources and Uses'!B1</f>
        <v>Project Site: Insert Site Name</v>
      </c>
      <c r="C1" s="275"/>
      <c r="D1" s="592" t="s">
        <v>70</v>
      </c>
      <c r="E1" s="593">
        <f>'Units &amp; Income'!D16</f>
        <v>0</v>
      </c>
      <c r="F1" s="642"/>
      <c r="G1" s="710"/>
      <c r="H1" s="321"/>
      <c r="I1" s="724"/>
      <c r="J1" s="321"/>
      <c r="L1" s="877" t="s">
        <v>370</v>
      </c>
    </row>
    <row r="2" spans="1:37" s="238" customFormat="1" ht="16.5" customHeight="1">
      <c r="A2" s="241"/>
      <c r="B2" s="997" t="str">
        <f>'Sources and Uses'!B2</f>
        <v>Development Team: Insert Team Name</v>
      </c>
      <c r="C2" s="242"/>
      <c r="D2" s="703"/>
      <c r="F2" s="642"/>
      <c r="G2" s="711"/>
      <c r="H2" s="321"/>
      <c r="I2" s="710"/>
      <c r="J2" s="321"/>
      <c r="L2" s="739" t="s">
        <v>364</v>
      </c>
      <c r="M2" s="742"/>
      <c r="N2" s="904">
        <f>I78</f>
        <v>0</v>
      </c>
    </row>
    <row r="3" spans="1:37" s="238" customFormat="1" ht="15" customHeight="1">
      <c r="A3" s="241"/>
      <c r="B3" s="898" t="s">
        <v>376</v>
      </c>
      <c r="C3" s="695"/>
      <c r="D3" s="703"/>
      <c r="E3" s="643"/>
      <c r="F3" s="642"/>
      <c r="G3" s="710"/>
      <c r="H3" s="321"/>
      <c r="I3" s="710"/>
      <c r="J3" s="321"/>
      <c r="L3" s="739" t="s">
        <v>362</v>
      </c>
      <c r="M3" s="740">
        <v>1.3</v>
      </c>
      <c r="N3" s="881">
        <f>N2*M3</f>
        <v>0</v>
      </c>
    </row>
    <row r="4" spans="1:37" s="238" customFormat="1" ht="15.75" customHeight="1">
      <c r="A4" s="241"/>
      <c r="L4" s="739" t="s">
        <v>273</v>
      </c>
      <c r="M4" s="740" t="e">
        <f>'Units &amp; Income'!I76</f>
        <v>#DIV/0!</v>
      </c>
      <c r="N4" s="881" t="e">
        <f>N3*M4</f>
        <v>#DIV/0!</v>
      </c>
    </row>
    <row r="5" spans="1:37" s="238" customFormat="1" ht="23.25">
      <c r="A5" s="241"/>
      <c r="B5" s="644" t="s">
        <v>47</v>
      </c>
      <c r="C5" s="503"/>
      <c r="D5" s="704"/>
      <c r="E5" s="645"/>
      <c r="F5" s="642"/>
      <c r="G5" s="711"/>
      <c r="H5" s="321"/>
      <c r="I5" s="710"/>
      <c r="J5" s="321"/>
      <c r="L5" s="739" t="s">
        <v>365</v>
      </c>
      <c r="M5" s="741">
        <v>3.27E-2</v>
      </c>
      <c r="N5" s="881" t="e">
        <f>N4*M5</f>
        <v>#DIV/0!</v>
      </c>
    </row>
    <row r="6" spans="1:37" s="238" customFormat="1" ht="15" customHeight="1">
      <c r="A6" s="241"/>
      <c r="B6" s="248"/>
      <c r="C6" s="248"/>
      <c r="D6" s="718" t="s">
        <v>76</v>
      </c>
      <c r="E6" s="719"/>
      <c r="F6" s="718"/>
      <c r="G6" s="720" t="s">
        <v>371</v>
      </c>
      <c r="H6" s="725"/>
      <c r="I6" s="720" t="s">
        <v>372</v>
      </c>
      <c r="J6" s="321"/>
      <c r="L6" s="739" t="s">
        <v>366</v>
      </c>
      <c r="M6" s="743" t="s">
        <v>367</v>
      </c>
      <c r="N6" s="881" t="e">
        <f>N5*M6</f>
        <v>#DIV/0!</v>
      </c>
    </row>
    <row r="7" spans="1:37" ht="15.75">
      <c r="B7" s="1049" t="s">
        <v>152</v>
      </c>
      <c r="C7" s="1049"/>
      <c r="D7" s="1050"/>
      <c r="E7" s="1049"/>
      <c r="F7" s="1049"/>
      <c r="G7" s="1051"/>
      <c r="H7" s="1052"/>
      <c r="I7" s="1051"/>
      <c r="L7" s="739" t="s">
        <v>363</v>
      </c>
      <c r="M7" s="742"/>
      <c r="N7" s="905" t="e">
        <f>N6*10</f>
        <v>#DIV/0!</v>
      </c>
    </row>
    <row r="8" spans="1:37" s="2" customFormat="1" ht="15.75">
      <c r="A8" s="241"/>
      <c r="B8" s="516" t="s">
        <v>151</v>
      </c>
      <c r="C8" s="516"/>
      <c r="D8" s="880"/>
      <c r="E8" s="689"/>
      <c r="F8" s="503"/>
      <c r="G8" s="878" t="s">
        <v>375</v>
      </c>
      <c r="H8" s="686"/>
      <c r="I8" s="879">
        <f>IF(G8="Y",(D8*M4),0)</f>
        <v>0</v>
      </c>
      <c r="J8" s="688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1"/>
      <c r="AG8" s="241"/>
      <c r="AH8" s="241"/>
      <c r="AI8" s="241"/>
      <c r="AJ8" s="241"/>
      <c r="AK8" s="241"/>
    </row>
    <row r="9" spans="1:37" s="241" customFormat="1" ht="16.5" thickBot="1">
      <c r="B9" s="1053" t="s">
        <v>182</v>
      </c>
      <c r="C9" s="1054"/>
      <c r="D9" s="1055">
        <f>SUM(D8:D8)</f>
        <v>0</v>
      </c>
      <c r="E9" s="1056" t="e">
        <f>D9/'Units &amp; Income'!D16</f>
        <v>#DIV/0!</v>
      </c>
      <c r="F9" s="1057" t="s">
        <v>11</v>
      </c>
      <c r="G9" s="1058"/>
      <c r="H9" s="1059"/>
      <c r="I9" s="1060">
        <f>SUM(I8:I8)</f>
        <v>0</v>
      </c>
      <c r="J9" s="688" t="e">
        <f>I9/D9</f>
        <v>#DIV/0!</v>
      </c>
    </row>
    <row r="10" spans="1:37" s="241" customFormat="1" ht="16.5" thickTop="1">
      <c r="B10" s="664"/>
      <c r="C10" s="661"/>
      <c r="D10" s="705"/>
      <c r="E10" s="685"/>
      <c r="F10" s="660"/>
      <c r="G10" s="888"/>
      <c r="H10" s="686"/>
      <c r="I10" s="1048"/>
      <c r="J10" s="688"/>
    </row>
    <row r="11" spans="1:37">
      <c r="B11" s="1049" t="s">
        <v>352</v>
      </c>
      <c r="C11" s="1049"/>
      <c r="D11" s="1061"/>
      <c r="E11" s="1049"/>
      <c r="F11" s="1049"/>
      <c r="G11" s="1062"/>
      <c r="H11" s="1063"/>
      <c r="I11" s="1062"/>
      <c r="J11" s="690"/>
    </row>
    <row r="12" spans="1:37">
      <c r="B12" s="242" t="s">
        <v>353</v>
      </c>
      <c r="C12" s="242"/>
      <c r="D12" s="707"/>
      <c r="E12" s="677"/>
      <c r="F12" s="677"/>
      <c r="G12" s="712"/>
      <c r="H12" s="686"/>
      <c r="I12" s="712"/>
      <c r="J12" s="688"/>
    </row>
    <row r="13" spans="1:37">
      <c r="B13" s="693" t="s">
        <v>354</v>
      </c>
      <c r="C13" s="691"/>
      <c r="D13" s="881"/>
      <c r="E13" s="696" t="e">
        <f>D13/'Units &amp; Income'!D20</f>
        <v>#DIV/0!</v>
      </c>
      <c r="F13" s="660" t="s">
        <v>39</v>
      </c>
      <c r="G13" s="878" t="s">
        <v>375</v>
      </c>
      <c r="H13" s="686"/>
      <c r="I13" s="886">
        <f>IF(G13="Y",(D13),0)</f>
        <v>0</v>
      </c>
      <c r="J13" s="688" t="e">
        <f>I13/D13</f>
        <v>#DIV/0!</v>
      </c>
    </row>
    <row r="14" spans="1:37">
      <c r="B14" s="841" t="s">
        <v>355</v>
      </c>
      <c r="C14" s="665"/>
      <c r="D14" s="881"/>
      <c r="E14" s="696" t="e">
        <f>D14/'Units &amp; Income'!D21</f>
        <v>#DIV/0!</v>
      </c>
      <c r="F14" s="660" t="s">
        <v>39</v>
      </c>
      <c r="G14" s="878" t="s">
        <v>375</v>
      </c>
      <c r="H14" s="686"/>
      <c r="I14" s="886">
        <f t="shared" ref="I14:I41" si="0">IF(G14="Y",(D14),0)</f>
        <v>0</v>
      </c>
      <c r="J14" s="688" t="e">
        <f>I14/D14</f>
        <v>#DIV/0!</v>
      </c>
    </row>
    <row r="15" spans="1:37">
      <c r="B15" s="693" t="s">
        <v>356</v>
      </c>
      <c r="C15" s="691"/>
      <c r="D15" s="881"/>
      <c r="E15" s="882" t="e">
        <f>D15/'Units &amp; Income'!D22</f>
        <v>#DIV/0!</v>
      </c>
      <c r="F15" s="660" t="s">
        <v>39</v>
      </c>
      <c r="G15" s="878" t="s">
        <v>375</v>
      </c>
      <c r="H15" s="686"/>
      <c r="I15" s="886">
        <f t="shared" si="0"/>
        <v>0</v>
      </c>
      <c r="J15" s="688" t="e">
        <f>I15/D15</f>
        <v>#DIV/0!</v>
      </c>
    </row>
    <row r="16" spans="1:37">
      <c r="B16" s="693" t="s">
        <v>419</v>
      </c>
      <c r="C16" s="691"/>
      <c r="D16" s="881"/>
      <c r="E16" s="882"/>
      <c r="F16" s="660"/>
      <c r="G16" s="878"/>
      <c r="H16" s="686"/>
      <c r="I16" s="886"/>
      <c r="J16" s="688"/>
    </row>
    <row r="17" spans="1:37" s="241" customFormat="1">
      <c r="B17" s="693" t="s">
        <v>38</v>
      </c>
      <c r="C17" s="691"/>
      <c r="D17" s="881"/>
      <c r="E17" s="882" t="e">
        <f>D17/'Units &amp; Income'!D23</f>
        <v>#DIV/0!</v>
      </c>
      <c r="F17" s="660" t="s">
        <v>39</v>
      </c>
      <c r="G17" s="878" t="s">
        <v>375</v>
      </c>
      <c r="H17" s="686"/>
      <c r="I17" s="886">
        <f t="shared" si="0"/>
        <v>0</v>
      </c>
      <c r="J17" s="688" t="e">
        <f>I17/D17</f>
        <v>#DIV/0!</v>
      </c>
    </row>
    <row r="18" spans="1:37">
      <c r="B18" s="691"/>
      <c r="C18" s="691"/>
      <c r="D18" s="648"/>
      <c r="E18" s="248"/>
      <c r="F18" s="248"/>
      <c r="G18" s="713"/>
      <c r="H18" s="726"/>
      <c r="I18" s="885"/>
      <c r="J18" s="687"/>
    </row>
    <row r="19" spans="1:37">
      <c r="B19" s="691" t="s">
        <v>153</v>
      </c>
      <c r="C19" s="692"/>
      <c r="D19" s="708"/>
      <c r="E19" s="241"/>
      <c r="F19" s="697" t="s">
        <v>357</v>
      </c>
      <c r="G19" s="698"/>
      <c r="H19" s="300"/>
      <c r="I19" s="885"/>
      <c r="J19" s="687"/>
    </row>
    <row r="20" spans="1:37">
      <c r="B20" s="693" t="s">
        <v>37</v>
      </c>
      <c r="C20" s="693"/>
      <c r="D20" s="881"/>
      <c r="E20" s="678" t="e">
        <f>D20/$D$13</f>
        <v>#DIV/0!</v>
      </c>
      <c r="F20" s="699">
        <v>0.06</v>
      </c>
      <c r="G20" s="878" t="s">
        <v>375</v>
      </c>
      <c r="H20" s="686"/>
      <c r="I20" s="886">
        <f t="shared" si="0"/>
        <v>0</v>
      </c>
      <c r="J20" s="688"/>
    </row>
    <row r="21" spans="1:37">
      <c r="B21" s="693" t="s">
        <v>74</v>
      </c>
      <c r="C21" s="693"/>
      <c r="D21" s="881"/>
      <c r="E21" s="678" t="e">
        <f>D21/$D$13</f>
        <v>#DIV/0!</v>
      </c>
      <c r="F21" s="699">
        <v>0.02</v>
      </c>
      <c r="G21" s="878" t="s">
        <v>375</v>
      </c>
      <c r="H21" s="686"/>
      <c r="I21" s="886">
        <f t="shared" si="0"/>
        <v>0</v>
      </c>
      <c r="J21" s="688"/>
      <c r="M21" s="252"/>
    </row>
    <row r="22" spans="1:37">
      <c r="B22" s="693" t="s">
        <v>154</v>
      </c>
      <c r="C22" s="693"/>
      <c r="D22" s="881"/>
      <c r="E22" s="678" t="e">
        <f>D22/$D$13</f>
        <v>#DIV/0!</v>
      </c>
      <c r="F22" s="699">
        <v>0.06</v>
      </c>
      <c r="G22" s="878" t="s">
        <v>375</v>
      </c>
      <c r="H22" s="686"/>
      <c r="I22" s="886">
        <f t="shared" si="0"/>
        <v>0</v>
      </c>
      <c r="J22" s="688"/>
    </row>
    <row r="23" spans="1:37">
      <c r="B23" s="693" t="s">
        <v>155</v>
      </c>
      <c r="C23" s="693"/>
      <c r="D23" s="881"/>
      <c r="E23" s="678" t="e">
        <f>D23/$D$13</f>
        <v>#DIV/0!</v>
      </c>
      <c r="F23" s="737"/>
      <c r="G23" s="878" t="s">
        <v>375</v>
      </c>
      <c r="H23" s="686"/>
      <c r="I23" s="886">
        <f t="shared" si="0"/>
        <v>0</v>
      </c>
      <c r="J23" s="688"/>
    </row>
    <row r="24" spans="1:37" s="2" customFormat="1">
      <c r="A24" s="241"/>
      <c r="B24" s="693" t="s">
        <v>20</v>
      </c>
      <c r="C24" s="693"/>
      <c r="D24" s="880"/>
      <c r="E24" s="1095" t="e">
        <f>D24/($D$13+D14+D15+D17+D$20+$D$21+$D$22+$D$23)</f>
        <v>#DIV/0!</v>
      </c>
      <c r="F24" s="699">
        <v>0.05</v>
      </c>
      <c r="G24" s="878" t="s">
        <v>375</v>
      </c>
      <c r="H24" s="686"/>
      <c r="I24" s="886">
        <f t="shared" si="0"/>
        <v>0</v>
      </c>
      <c r="J24" s="688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</row>
    <row r="25" spans="1:37" s="238" customFormat="1" ht="16.5" thickBot="1">
      <c r="A25" s="241"/>
      <c r="B25" s="1054" t="s">
        <v>183</v>
      </c>
      <c r="C25" s="1054"/>
      <c r="D25" s="1055">
        <f>SUM(D12:D24)</f>
        <v>0</v>
      </c>
      <c r="E25" s="1064" t="e">
        <f>D25/'Units &amp; Income'!D24</f>
        <v>#DIV/0!</v>
      </c>
      <c r="F25" s="1065" t="s">
        <v>39</v>
      </c>
      <c r="G25" s="1066"/>
      <c r="H25" s="1059"/>
      <c r="I25" s="1066">
        <f>SUM(I12:I24)</f>
        <v>0</v>
      </c>
      <c r="J25" s="688" t="e">
        <f>I25/D25</f>
        <v>#DIV/0!</v>
      </c>
      <c r="K25" s="256"/>
      <c r="L25" s="256"/>
      <c r="M25" s="256"/>
      <c r="N25" s="256"/>
      <c r="O25" s="256"/>
    </row>
    <row r="26" spans="1:37" s="238" customFormat="1" ht="16.5" thickTop="1">
      <c r="A26" s="241"/>
      <c r="B26" s="661"/>
      <c r="C26" s="661"/>
      <c r="D26" s="705"/>
      <c r="E26" s="700"/>
      <c r="F26" s="701"/>
      <c r="G26" s="714"/>
      <c r="H26" s="686"/>
      <c r="I26" s="714"/>
      <c r="J26" s="688"/>
      <c r="K26" s="256"/>
      <c r="L26" s="256"/>
      <c r="M26" s="256"/>
      <c r="N26" s="256"/>
      <c r="O26" s="256"/>
    </row>
    <row r="27" spans="1:37">
      <c r="B27" s="1049" t="s">
        <v>75</v>
      </c>
      <c r="C27" s="1049"/>
      <c r="D27" s="1061"/>
      <c r="E27" s="1049"/>
      <c r="F27" s="1049"/>
      <c r="G27" s="1067"/>
      <c r="H27" s="1068"/>
      <c r="I27" s="1067"/>
      <c r="J27" s="727"/>
      <c r="K27" s="256"/>
      <c r="L27" s="256"/>
      <c r="M27" s="256"/>
      <c r="N27" s="256"/>
      <c r="O27" s="256"/>
    </row>
    <row r="28" spans="1:37">
      <c r="B28" s="242" t="s">
        <v>73</v>
      </c>
      <c r="C28" s="242"/>
      <c r="D28" s="883"/>
      <c r="E28" s="677"/>
      <c r="F28" s="677"/>
      <c r="G28" s="878" t="s">
        <v>375</v>
      </c>
      <c r="H28" s="686"/>
      <c r="I28" s="886">
        <f t="shared" si="0"/>
        <v>0</v>
      </c>
      <c r="J28" s="688"/>
      <c r="K28" s="256"/>
      <c r="L28" s="256"/>
      <c r="M28" s="256"/>
      <c r="N28" s="256"/>
      <c r="O28" s="256"/>
    </row>
    <row r="29" spans="1:37">
      <c r="B29" s="242" t="s">
        <v>116</v>
      </c>
      <c r="C29" s="242"/>
      <c r="D29" s="883"/>
      <c r="E29" s="248"/>
      <c r="F29" s="248"/>
      <c r="G29" s="878" t="s">
        <v>375</v>
      </c>
      <c r="H29" s="686"/>
      <c r="I29" s="886">
        <f t="shared" si="0"/>
        <v>0</v>
      </c>
      <c r="J29" s="688"/>
      <c r="K29" s="256"/>
      <c r="L29" s="256"/>
      <c r="M29" s="256"/>
      <c r="N29" s="256"/>
      <c r="O29" s="256"/>
    </row>
    <row r="30" spans="1:37">
      <c r="B30" s="242" t="s">
        <v>157</v>
      </c>
      <c r="C30" s="242"/>
      <c r="D30" s="883"/>
      <c r="E30" s="248"/>
      <c r="F30" s="248"/>
      <c r="G30" s="878" t="s">
        <v>375</v>
      </c>
      <c r="H30" s="686"/>
      <c r="I30" s="886">
        <f t="shared" si="0"/>
        <v>0</v>
      </c>
      <c r="J30" s="688"/>
      <c r="K30" s="256"/>
      <c r="L30" s="256"/>
      <c r="M30" s="256"/>
      <c r="N30" s="256"/>
      <c r="O30" s="256"/>
    </row>
    <row r="31" spans="1:37">
      <c r="B31" s="242" t="s">
        <v>359</v>
      </c>
      <c r="C31" s="242"/>
      <c r="D31" s="883"/>
      <c r="E31" s="248"/>
      <c r="F31" s="647"/>
      <c r="G31" s="878" t="s">
        <v>375</v>
      </c>
      <c r="H31" s="686"/>
      <c r="I31" s="886">
        <f t="shared" si="0"/>
        <v>0</v>
      </c>
      <c r="J31" s="688"/>
      <c r="K31" s="256"/>
      <c r="L31" s="256"/>
      <c r="M31" s="256"/>
      <c r="N31" s="256"/>
      <c r="O31" s="256"/>
    </row>
    <row r="32" spans="1:37">
      <c r="B32" s="242" t="s">
        <v>62</v>
      </c>
      <c r="C32" s="242"/>
      <c r="D32" s="883"/>
      <c r="E32" s="248"/>
      <c r="F32" s="248"/>
      <c r="G32" s="878" t="s">
        <v>375</v>
      </c>
      <c r="H32" s="686"/>
      <c r="I32" s="886">
        <f t="shared" si="0"/>
        <v>0</v>
      </c>
      <c r="J32" s="688"/>
      <c r="K32" s="256"/>
      <c r="L32" s="256"/>
      <c r="M32" s="256"/>
      <c r="N32" s="256"/>
      <c r="O32" s="256"/>
    </row>
    <row r="33" spans="1:37">
      <c r="B33" s="248" t="s">
        <v>64</v>
      </c>
      <c r="C33" s="248"/>
      <c r="D33" s="883"/>
      <c r="E33" s="248"/>
      <c r="F33" s="248"/>
      <c r="G33" s="878" t="s">
        <v>375</v>
      </c>
      <c r="H33" s="686"/>
      <c r="I33" s="886">
        <f t="shared" si="0"/>
        <v>0</v>
      </c>
      <c r="J33" s="688"/>
      <c r="K33" s="256"/>
      <c r="L33" s="256"/>
      <c r="M33" s="256"/>
      <c r="N33" s="256"/>
      <c r="O33" s="256"/>
    </row>
    <row r="34" spans="1:37" s="736" customFormat="1">
      <c r="A34" s="728"/>
      <c r="B34" s="242" t="s">
        <v>13</v>
      </c>
      <c r="C34" s="242"/>
      <c r="D34" s="883"/>
      <c r="E34" s="248"/>
      <c r="F34" s="248"/>
      <c r="G34" s="878" t="s">
        <v>375</v>
      </c>
      <c r="H34" s="686"/>
      <c r="I34" s="886">
        <f t="shared" si="0"/>
        <v>0</v>
      </c>
      <c r="J34" s="688"/>
      <c r="K34" s="732"/>
      <c r="L34" s="733"/>
      <c r="M34" s="733"/>
      <c r="N34" s="733"/>
      <c r="O34" s="734"/>
      <c r="P34" s="735"/>
      <c r="Q34" s="735"/>
      <c r="R34" s="735"/>
      <c r="S34" s="735"/>
      <c r="T34" s="735"/>
      <c r="U34" s="735"/>
      <c r="V34" s="735"/>
      <c r="W34" s="735"/>
      <c r="X34" s="735"/>
      <c r="Y34" s="735"/>
      <c r="Z34" s="735"/>
      <c r="AA34" s="735"/>
      <c r="AB34" s="735"/>
      <c r="AC34" s="735"/>
      <c r="AD34" s="735"/>
      <c r="AE34" s="735"/>
      <c r="AF34" s="735"/>
      <c r="AG34" s="735"/>
      <c r="AH34" s="735"/>
      <c r="AI34" s="735"/>
      <c r="AJ34" s="735"/>
      <c r="AK34" s="735"/>
    </row>
    <row r="35" spans="1:37">
      <c r="B35" s="282" t="s">
        <v>159</v>
      </c>
      <c r="C35" s="729"/>
      <c r="D35" s="883"/>
      <c r="E35" s="729"/>
      <c r="F35" s="729"/>
      <c r="G35" s="878" t="s">
        <v>375</v>
      </c>
      <c r="H35" s="730"/>
      <c r="I35" s="886">
        <f t="shared" si="0"/>
        <v>0</v>
      </c>
      <c r="J35" s="731"/>
      <c r="K35" s="256"/>
      <c r="L35" s="256"/>
      <c r="M35" s="651"/>
      <c r="N35" s="649"/>
      <c r="O35" s="650"/>
    </row>
    <row r="36" spans="1:37">
      <c r="B36" s="242" t="s">
        <v>15</v>
      </c>
      <c r="C36" s="242"/>
      <c r="D36" s="883"/>
      <c r="E36" s="702"/>
      <c r="F36" s="248"/>
      <c r="G36" s="878" t="s">
        <v>375</v>
      </c>
      <c r="H36" s="686"/>
      <c r="I36" s="886">
        <f t="shared" si="0"/>
        <v>0</v>
      </c>
      <c r="J36" s="688"/>
      <c r="K36" s="256"/>
      <c r="L36" s="256"/>
      <c r="M36" s="650"/>
      <c r="N36" s="650"/>
      <c r="O36" s="256"/>
    </row>
    <row r="37" spans="1:37">
      <c r="B37" s="242" t="s">
        <v>160</v>
      </c>
      <c r="C37" s="242"/>
      <c r="D37" s="883"/>
      <c r="E37" s="241"/>
      <c r="F37" s="248"/>
      <c r="G37" s="878" t="s">
        <v>375</v>
      </c>
      <c r="H37" s="686"/>
      <c r="I37" s="886">
        <f t="shared" si="0"/>
        <v>0</v>
      </c>
      <c r="J37" s="688"/>
      <c r="K37" s="256"/>
      <c r="L37" s="649"/>
      <c r="M37" s="649"/>
      <c r="N37" s="649"/>
      <c r="O37" s="650"/>
    </row>
    <row r="38" spans="1:37">
      <c r="B38" s="242" t="s">
        <v>361</v>
      </c>
      <c r="C38" s="242"/>
      <c r="D38" s="883"/>
      <c r="E38" s="248"/>
      <c r="F38" s="248"/>
      <c r="G38" s="878" t="s">
        <v>375</v>
      </c>
      <c r="H38" s="686"/>
      <c r="I38" s="886">
        <f t="shared" si="0"/>
        <v>0</v>
      </c>
      <c r="J38" s="688"/>
      <c r="K38" s="256"/>
      <c r="L38" s="256"/>
      <c r="M38" s="256"/>
      <c r="N38" s="256"/>
      <c r="O38" s="650"/>
    </row>
    <row r="39" spans="1:37">
      <c r="B39" s="242" t="s">
        <v>360</v>
      </c>
      <c r="C39" s="242"/>
      <c r="D39" s="883"/>
      <c r="E39" s="248"/>
      <c r="F39" s="248"/>
      <c r="G39" s="878" t="s">
        <v>375</v>
      </c>
      <c r="H39" s="686"/>
      <c r="I39" s="886">
        <f t="shared" si="0"/>
        <v>0</v>
      </c>
      <c r="J39" s="688"/>
      <c r="K39" s="256"/>
      <c r="L39" s="256"/>
      <c r="M39" s="256"/>
      <c r="N39" s="256"/>
      <c r="O39" s="256"/>
    </row>
    <row r="40" spans="1:37">
      <c r="B40" s="242" t="s">
        <v>158</v>
      </c>
      <c r="C40" s="242"/>
      <c r="D40" s="883"/>
      <c r="E40" s="663"/>
      <c r="F40" s="248"/>
      <c r="G40" s="878" t="s">
        <v>375</v>
      </c>
      <c r="H40" s="686"/>
      <c r="I40" s="886">
        <f t="shared" si="0"/>
        <v>0</v>
      </c>
      <c r="J40" s="688"/>
      <c r="K40" s="256"/>
      <c r="L40" s="256"/>
      <c r="M40" s="256"/>
      <c r="N40" s="256"/>
      <c r="O40" s="256"/>
    </row>
    <row r="41" spans="1:37">
      <c r="B41" s="282" t="s">
        <v>24</v>
      </c>
      <c r="C41" s="282"/>
      <c r="D41" s="884">
        <f>E41*SUM(D58,D52,D42)</f>
        <v>0</v>
      </c>
      <c r="E41" s="723">
        <v>0.05</v>
      </c>
      <c r="F41" s="241"/>
      <c r="G41" s="878" t="s">
        <v>375</v>
      </c>
      <c r="H41" s="686"/>
      <c r="I41" s="886">
        <f t="shared" si="0"/>
        <v>0</v>
      </c>
      <c r="J41" s="688"/>
      <c r="K41" s="256"/>
      <c r="L41" s="649"/>
      <c r="M41" s="256"/>
      <c r="N41" s="256"/>
      <c r="O41" s="650"/>
    </row>
    <row r="42" spans="1:37" s="238" customFormat="1" ht="16.5" thickBot="1">
      <c r="A42" s="241"/>
      <c r="B42" s="1054" t="s">
        <v>358</v>
      </c>
      <c r="C42" s="1069"/>
      <c r="D42" s="1070">
        <f>SUM(D28:D40)</f>
        <v>0</v>
      </c>
      <c r="E42" s="1071"/>
      <c r="F42" s="1071"/>
      <c r="G42" s="1072"/>
      <c r="H42" s="1059"/>
      <c r="I42" s="1072">
        <f>SUM(I28:I41)</f>
        <v>0</v>
      </c>
      <c r="J42" s="688" t="e">
        <f>I42/D42</f>
        <v>#DIV/0!</v>
      </c>
      <c r="K42" s="256"/>
      <c r="L42" s="256"/>
      <c r="M42" s="256"/>
      <c r="N42" s="256"/>
      <c r="O42" s="256"/>
    </row>
    <row r="43" spans="1:37" s="238" customFormat="1" ht="16.5" thickTop="1">
      <c r="A43" s="241"/>
      <c r="B43" s="661"/>
      <c r="C43" s="694"/>
      <c r="D43" s="721"/>
      <c r="E43" s="503"/>
      <c r="F43" s="503"/>
      <c r="G43" s="722"/>
      <c r="H43" s="686"/>
      <c r="I43" s="722"/>
      <c r="J43" s="688"/>
      <c r="K43" s="256"/>
      <c r="L43" s="256"/>
      <c r="M43" s="256"/>
      <c r="N43" s="256"/>
      <c r="O43" s="256"/>
    </row>
    <row r="44" spans="1:37">
      <c r="B44" s="1049" t="s">
        <v>161</v>
      </c>
      <c r="C44" s="1049"/>
      <c r="D44" s="1061"/>
      <c r="E44" s="1049"/>
      <c r="F44" s="1049"/>
      <c r="G44" s="1073"/>
      <c r="H44" s="1074"/>
      <c r="I44" s="1073"/>
      <c r="J44" s="687"/>
      <c r="K44" s="652"/>
      <c r="L44" s="653"/>
      <c r="M44" s="256"/>
      <c r="N44" s="256"/>
      <c r="O44" s="256"/>
    </row>
    <row r="45" spans="1:37">
      <c r="B45" s="282" t="s">
        <v>162</v>
      </c>
      <c r="C45" s="282"/>
      <c r="D45" s="831">
        <f>'Construction Interest'!G34+'Construction Interest'!G35</f>
        <v>0</v>
      </c>
      <c r="E45" s="282"/>
      <c r="F45" s="679"/>
      <c r="G45" s="878" t="s">
        <v>375</v>
      </c>
      <c r="H45" s="686"/>
      <c r="I45" s="886">
        <f t="shared" ref="I45:I51" si="1">IF(G45="Y",(D45),0)</f>
        <v>0</v>
      </c>
      <c r="J45" s="688"/>
      <c r="K45" s="256"/>
      <c r="L45" s="256"/>
      <c r="M45" s="256"/>
      <c r="N45" s="256"/>
      <c r="O45" s="256"/>
    </row>
    <row r="46" spans="1:37">
      <c r="B46" s="282" t="s">
        <v>320</v>
      </c>
      <c r="C46" s="282"/>
      <c r="D46" s="832">
        <f>'Construction Interest'!G37</f>
        <v>0</v>
      </c>
      <c r="E46" s="829"/>
      <c r="F46" s="282"/>
      <c r="G46" s="878" t="s">
        <v>375</v>
      </c>
      <c r="H46" s="686"/>
      <c r="I46" s="886">
        <f t="shared" si="1"/>
        <v>0</v>
      </c>
      <c r="J46" s="688"/>
      <c r="K46" s="256"/>
      <c r="L46" s="256"/>
      <c r="M46" s="256"/>
      <c r="N46" s="256"/>
      <c r="O46" s="256"/>
    </row>
    <row r="47" spans="1:37">
      <c r="B47" s="282" t="s">
        <v>321</v>
      </c>
      <c r="C47" s="282"/>
      <c r="D47" s="833">
        <f>'Construction Interest'!G38</f>
        <v>0</v>
      </c>
      <c r="E47" s="660"/>
      <c r="F47" s="248"/>
      <c r="G47" s="878" t="s">
        <v>375</v>
      </c>
      <c r="H47" s="686"/>
      <c r="I47" s="886">
        <f t="shared" si="1"/>
        <v>0</v>
      </c>
      <c r="J47" s="688"/>
      <c r="K47" s="256"/>
      <c r="L47" s="256"/>
      <c r="M47" s="256"/>
      <c r="N47" s="256"/>
      <c r="O47" s="256"/>
    </row>
    <row r="48" spans="1:37">
      <c r="B48" s="282" t="s">
        <v>164</v>
      </c>
      <c r="C48" s="282"/>
      <c r="D48" s="834">
        <f>E48*'Construction Interest'!E44</f>
        <v>0</v>
      </c>
      <c r="E48" s="836">
        <f>'Construction Interest'!D47</f>
        <v>0.01</v>
      </c>
      <c r="F48" s="680" t="s">
        <v>175</v>
      </c>
      <c r="G48" s="878" t="s">
        <v>375</v>
      </c>
      <c r="H48" s="686"/>
      <c r="I48" s="886">
        <f t="shared" si="1"/>
        <v>0</v>
      </c>
      <c r="J48" s="688"/>
      <c r="K48" s="256"/>
      <c r="L48" s="256"/>
      <c r="M48" s="256"/>
      <c r="N48" s="256"/>
      <c r="O48" s="256"/>
    </row>
    <row r="49" spans="1:15">
      <c r="B49" s="282" t="s">
        <v>165</v>
      </c>
      <c r="C49" s="282"/>
      <c r="D49" s="831">
        <f>(E49*'Construction Interest'!E44)*'Development Budget'!F49</f>
        <v>0</v>
      </c>
      <c r="E49" s="836">
        <f>'Construction Interest'!D48</f>
        <v>1.0999999999999999E-2</v>
      </c>
      <c r="F49" s="681">
        <f>'Construction Interest'!D17</f>
        <v>2</v>
      </c>
      <c r="G49" s="878" t="s">
        <v>375</v>
      </c>
      <c r="H49" s="686"/>
      <c r="I49" s="886">
        <f t="shared" si="1"/>
        <v>0</v>
      </c>
      <c r="J49" s="688"/>
      <c r="K49" s="256"/>
      <c r="L49" s="256"/>
      <c r="M49" s="256"/>
      <c r="N49" s="256"/>
      <c r="O49" s="256"/>
    </row>
    <row r="50" spans="1:15">
      <c r="B50" s="282" t="s">
        <v>61</v>
      </c>
      <c r="C50" s="282"/>
      <c r="D50" s="835"/>
      <c r="E50" s="248"/>
      <c r="F50" s="248"/>
      <c r="G50" s="878" t="s">
        <v>375</v>
      </c>
      <c r="H50" s="686"/>
      <c r="I50" s="886">
        <f t="shared" si="1"/>
        <v>0</v>
      </c>
      <c r="J50" s="688"/>
      <c r="K50" s="256"/>
      <c r="L50" s="256"/>
      <c r="M50" s="256"/>
      <c r="N50" s="256"/>
      <c r="O50" s="650"/>
    </row>
    <row r="51" spans="1:15">
      <c r="B51" s="242" t="s">
        <v>163</v>
      </c>
      <c r="C51" s="242"/>
      <c r="D51" s="900"/>
      <c r="E51" s="830"/>
      <c r="F51" s="248"/>
      <c r="G51" s="878" t="s">
        <v>375</v>
      </c>
      <c r="H51" s="300"/>
      <c r="I51" s="886">
        <f t="shared" si="1"/>
        <v>0</v>
      </c>
    </row>
    <row r="52" spans="1:15" s="238" customFormat="1" ht="16.5" thickBot="1">
      <c r="A52" s="241"/>
      <c r="B52" s="1054" t="s">
        <v>12</v>
      </c>
      <c r="C52" s="1069"/>
      <c r="D52" s="1075">
        <f>SUM(D45:D51)</f>
        <v>0</v>
      </c>
      <c r="E52" s="1076"/>
      <c r="F52" s="1076"/>
      <c r="G52" s="1077"/>
      <c r="H52" s="1059"/>
      <c r="I52" s="1077">
        <f>SUM(I45:I51)</f>
        <v>0</v>
      </c>
      <c r="J52" s="688" t="e">
        <f>I52/D52</f>
        <v>#DIV/0!</v>
      </c>
    </row>
    <row r="53" spans="1:15" s="238" customFormat="1" ht="16.5" thickTop="1">
      <c r="A53" s="241"/>
      <c r="B53" s="661"/>
      <c r="C53" s="694"/>
      <c r="D53" s="903"/>
      <c r="E53" s="338"/>
      <c r="F53" s="338"/>
      <c r="G53" s="839"/>
      <c r="H53" s="686"/>
      <c r="I53" s="839"/>
      <c r="J53" s="688"/>
    </row>
    <row r="54" spans="1:15">
      <c r="B54" s="1049" t="s">
        <v>185</v>
      </c>
      <c r="C54" s="1049"/>
      <c r="D54" s="1061"/>
      <c r="E54" s="1049"/>
      <c r="F54" s="1049"/>
      <c r="G54" s="1078"/>
      <c r="H54" s="1079"/>
      <c r="I54" s="1078"/>
    </row>
    <row r="55" spans="1:15" ht="15.75">
      <c r="B55" s="691" t="s">
        <v>186</v>
      </c>
      <c r="C55" s="691"/>
      <c r="D55" s="899"/>
      <c r="E55" s="338"/>
      <c r="F55" s="338"/>
      <c r="G55" s="878" t="s">
        <v>375</v>
      </c>
      <c r="H55" s="686"/>
      <c r="I55" s="886">
        <f t="shared" ref="I55:I57" si="2">IF(G55="Y",(D55),0)</f>
        <v>0</v>
      </c>
      <c r="J55" s="688"/>
    </row>
    <row r="56" spans="1:15" ht="15.75">
      <c r="B56" s="691" t="s">
        <v>369</v>
      </c>
      <c r="C56" s="691"/>
      <c r="D56" s="899"/>
      <c r="E56" s="338"/>
      <c r="F56" s="338"/>
      <c r="G56" s="878" t="s">
        <v>375</v>
      </c>
      <c r="H56" s="686"/>
      <c r="I56" s="886">
        <f t="shared" si="2"/>
        <v>0</v>
      </c>
      <c r="J56" s="688"/>
    </row>
    <row r="57" spans="1:15" ht="15.75">
      <c r="B57" s="691" t="s">
        <v>187</v>
      </c>
      <c r="C57" s="691"/>
      <c r="D57" s="900"/>
      <c r="E57" s="338"/>
      <c r="F57" s="338"/>
      <c r="G57" s="878" t="s">
        <v>375</v>
      </c>
      <c r="H57" s="300"/>
      <c r="I57" s="886">
        <f t="shared" si="2"/>
        <v>0</v>
      </c>
    </row>
    <row r="58" spans="1:15" s="238" customFormat="1" ht="16.5" thickBot="1">
      <c r="A58" s="241"/>
      <c r="B58" s="1054" t="s">
        <v>12</v>
      </c>
      <c r="C58" s="1069"/>
      <c r="D58" s="1080">
        <f>SUM(D55:D57)</f>
        <v>0</v>
      </c>
      <c r="E58" s="1076"/>
      <c r="F58" s="1076"/>
      <c r="G58" s="1081"/>
      <c r="H58" s="1059"/>
      <c r="I58" s="1081">
        <f>SUM(I55:I57)</f>
        <v>0</v>
      </c>
      <c r="J58" s="688" t="e">
        <f>I58/D58</f>
        <v>#DIV/0!</v>
      </c>
      <c r="K58" s="248"/>
      <c r="L58" s="256"/>
      <c r="M58" s="256"/>
      <c r="N58" s="256"/>
      <c r="O58" s="650"/>
    </row>
    <row r="59" spans="1:15" s="238" customFormat="1" ht="16.5" thickTop="1">
      <c r="A59" s="241"/>
      <c r="B59" s="661"/>
      <c r="C59" s="694"/>
      <c r="D59" s="902"/>
      <c r="E59" s="338"/>
      <c r="F59" s="338"/>
      <c r="G59" s="840"/>
      <c r="H59" s="686"/>
      <c r="I59" s="840"/>
      <c r="J59" s="688"/>
      <c r="K59" s="248"/>
      <c r="L59" s="256"/>
      <c r="M59" s="256"/>
      <c r="N59" s="256"/>
      <c r="O59" s="650"/>
    </row>
    <row r="60" spans="1:15">
      <c r="B60" s="1049" t="s">
        <v>177</v>
      </c>
      <c r="C60" s="1049"/>
      <c r="D60" s="1061"/>
      <c r="E60" s="1049"/>
      <c r="F60" s="1049"/>
      <c r="G60" s="1073"/>
      <c r="H60" s="1074"/>
      <c r="I60" s="1073"/>
      <c r="J60" s="687"/>
      <c r="K60" s="844"/>
      <c r="L60" s="256"/>
      <c r="M60" s="256"/>
      <c r="N60" s="654"/>
      <c r="O60" s="655"/>
    </row>
    <row r="61" spans="1:15">
      <c r="B61" s="242" t="s">
        <v>178</v>
      </c>
      <c r="C61" s="242"/>
      <c r="D61" s="845">
        <f>E61*('Sources and Uses'!C6+'Sources and Uses'!C7)</f>
        <v>0</v>
      </c>
      <c r="E61" s="836">
        <v>0.01</v>
      </c>
      <c r="F61" s="660" t="s">
        <v>350</v>
      </c>
      <c r="G61" s="878" t="s">
        <v>375</v>
      </c>
      <c r="H61" s="686"/>
      <c r="I61" s="886">
        <f t="shared" ref="I61:I69" si="3">IF(G61="Y",(D61),0)</f>
        <v>0</v>
      </c>
      <c r="J61" s="688"/>
      <c r="K61" s="844"/>
      <c r="L61" s="656"/>
      <c r="M61" s="657"/>
      <c r="N61" s="651"/>
      <c r="O61" s="650"/>
    </row>
    <row r="62" spans="1:15">
      <c r="B62" s="242" t="s">
        <v>179</v>
      </c>
      <c r="C62" s="242"/>
      <c r="D62" s="845">
        <f>E62*('Sources and Uses'!C6+'Sources and Uses'!C7)</f>
        <v>0</v>
      </c>
      <c r="E62" s="836">
        <v>8.9999999999999993E-3</v>
      </c>
      <c r="F62" s="660" t="s">
        <v>350</v>
      </c>
      <c r="G62" s="878" t="s">
        <v>375</v>
      </c>
      <c r="H62" s="659"/>
      <c r="I62" s="886">
        <f t="shared" si="3"/>
        <v>0</v>
      </c>
      <c r="J62" s="688"/>
      <c r="K62" s="844"/>
      <c r="L62" s="649"/>
      <c r="M62" s="649"/>
      <c r="N62" s="649"/>
      <c r="O62" s="650"/>
    </row>
    <row r="63" spans="1:15">
      <c r="B63" s="242" t="s">
        <v>388</v>
      </c>
      <c r="C63" s="242"/>
      <c r="D63" s="845">
        <f>E63*('Sources and Uses'!C6+'Sources and Uses'!C7)</f>
        <v>0</v>
      </c>
      <c r="E63" s="843">
        <v>8.3999999999999995E-3</v>
      </c>
      <c r="F63" s="660" t="s">
        <v>387</v>
      </c>
      <c r="G63" s="878" t="s">
        <v>375</v>
      </c>
      <c r="H63" s="659"/>
      <c r="I63" s="886">
        <f t="shared" si="3"/>
        <v>0</v>
      </c>
      <c r="J63" s="688"/>
      <c r="K63" s="844"/>
      <c r="L63" s="256"/>
      <c r="M63" s="651"/>
      <c r="N63" s="649"/>
      <c r="O63" s="650"/>
    </row>
    <row r="64" spans="1:15">
      <c r="B64" s="242" t="s">
        <v>180</v>
      </c>
      <c r="C64" s="242"/>
      <c r="D64" s="966"/>
      <c r="E64" s="965">
        <v>10000</v>
      </c>
      <c r="F64" s="660" t="s">
        <v>387</v>
      </c>
      <c r="G64" s="878" t="s">
        <v>375</v>
      </c>
      <c r="H64" s="687"/>
      <c r="I64" s="886">
        <f t="shared" si="3"/>
        <v>0</v>
      </c>
      <c r="J64" s="688"/>
      <c r="K64" s="844"/>
      <c r="L64" s="256"/>
      <c r="M64" s="256"/>
      <c r="N64" s="654"/>
      <c r="O64" s="655"/>
    </row>
    <row r="65" spans="1:37">
      <c r="B65" s="242" t="s">
        <v>112</v>
      </c>
      <c r="C65" s="242"/>
      <c r="D65" s="845">
        <f>E65*Mortgage!C52</f>
        <v>0</v>
      </c>
      <c r="E65" s="836">
        <v>1E-3</v>
      </c>
      <c r="F65" s="248"/>
      <c r="G65" s="878" t="s">
        <v>375</v>
      </c>
      <c r="H65" s="686"/>
      <c r="I65" s="886">
        <f t="shared" si="3"/>
        <v>0</v>
      </c>
      <c r="J65" s="688"/>
      <c r="K65" s="241"/>
      <c r="L65" s="256"/>
      <c r="M65" s="256"/>
      <c r="N65" s="654"/>
      <c r="O65" s="655"/>
    </row>
    <row r="66" spans="1:37">
      <c r="B66" s="242" t="s">
        <v>181</v>
      </c>
      <c r="C66" s="242"/>
      <c r="D66" s="845">
        <f>E66*Mortgage!C52</f>
        <v>0</v>
      </c>
      <c r="E66" s="836">
        <v>5.0000000000000001E-3</v>
      </c>
      <c r="F66" s="248"/>
      <c r="G66" s="878" t="s">
        <v>375</v>
      </c>
      <c r="H66" s="686"/>
      <c r="I66" s="886">
        <f t="shared" si="3"/>
        <v>0</v>
      </c>
      <c r="J66" s="688"/>
      <c r="K66" s="256"/>
      <c r="L66" s="256"/>
      <c r="M66" s="256"/>
      <c r="N66" s="256"/>
      <c r="O66" s="256"/>
    </row>
    <row r="67" spans="1:37">
      <c r="B67" s="242" t="s">
        <v>176</v>
      </c>
      <c r="C67" s="242"/>
      <c r="D67" s="846">
        <f>SUM(Amortization!F16,Amortization!G16,Amortization!J16)</f>
        <v>0</v>
      </c>
      <c r="E67" s="852"/>
      <c r="F67" s="682"/>
      <c r="G67" s="878" t="s">
        <v>375</v>
      </c>
      <c r="H67" s="686"/>
      <c r="I67" s="886">
        <f t="shared" si="3"/>
        <v>0</v>
      </c>
      <c r="J67" s="688"/>
      <c r="L67" s="256"/>
      <c r="M67" s="256"/>
      <c r="N67" s="654"/>
      <c r="O67" s="655"/>
    </row>
    <row r="68" spans="1:37">
      <c r="B68" s="242" t="s">
        <v>113</v>
      </c>
      <c r="C68" s="242"/>
      <c r="D68" s="899"/>
      <c r="E68" s="967">
        <v>45000</v>
      </c>
      <c r="F68" s="660" t="s">
        <v>387</v>
      </c>
      <c r="G68" s="878" t="s">
        <v>375</v>
      </c>
      <c r="H68" s="686"/>
      <c r="I68" s="886">
        <f t="shared" si="3"/>
        <v>0</v>
      </c>
      <c r="J68" s="688"/>
      <c r="L68" s="256"/>
      <c r="M68" s="256"/>
      <c r="N68" s="654"/>
      <c r="O68" s="655"/>
    </row>
    <row r="69" spans="1:37">
      <c r="B69" s="242" t="s">
        <v>416</v>
      </c>
      <c r="C69" s="242"/>
      <c r="D69" s="900"/>
      <c r="E69" s="967">
        <v>5000</v>
      </c>
      <c r="F69" s="660" t="s">
        <v>387</v>
      </c>
      <c r="G69" s="878" t="s">
        <v>375</v>
      </c>
      <c r="H69" s="686"/>
      <c r="I69" s="886">
        <f t="shared" si="3"/>
        <v>0</v>
      </c>
      <c r="J69" s="688"/>
      <c r="K69" s="898"/>
      <c r="L69" s="256"/>
      <c r="M69" s="256"/>
      <c r="N69" s="256"/>
      <c r="O69" s="256"/>
    </row>
    <row r="70" spans="1:37" s="4" customFormat="1" ht="16.5" thickBot="1">
      <c r="A70" s="241"/>
      <c r="B70" s="1054" t="s">
        <v>12</v>
      </c>
      <c r="C70" s="1069"/>
      <c r="D70" s="1082">
        <f>SUM(D61:D69)</f>
        <v>0</v>
      </c>
      <c r="E70" s="1071"/>
      <c r="F70" s="1071"/>
      <c r="G70" s="1083"/>
      <c r="H70" s="1084"/>
      <c r="I70" s="1083">
        <f>SUM(I61:I69)</f>
        <v>0</v>
      </c>
      <c r="J70" s="853" t="e">
        <f>I70/D70</f>
        <v>#DIV/0!</v>
      </c>
      <c r="K70" s="256"/>
      <c r="L70" s="256"/>
      <c r="M70" s="256"/>
      <c r="N70" s="256"/>
      <c r="O70" s="256"/>
      <c r="P70" s="238"/>
      <c r="Q70" s="238"/>
      <c r="R70" s="238"/>
      <c r="S70" s="238"/>
      <c r="T70" s="238"/>
      <c r="U70" s="238"/>
      <c r="V70" s="238"/>
      <c r="W70" s="238"/>
      <c r="X70" s="238"/>
      <c r="Y70" s="238"/>
      <c r="Z70" s="238"/>
      <c r="AA70" s="238"/>
      <c r="AB70" s="238"/>
      <c r="AC70" s="238"/>
      <c r="AD70" s="238"/>
      <c r="AE70" s="238"/>
      <c r="AF70" s="238"/>
      <c r="AG70" s="238"/>
      <c r="AH70" s="238"/>
      <c r="AI70" s="238"/>
      <c r="AJ70" s="238"/>
      <c r="AK70" s="238"/>
    </row>
    <row r="71" spans="1:37" s="4" customFormat="1" ht="16.5" thickTop="1">
      <c r="A71" s="241"/>
      <c r="B71" s="694"/>
      <c r="C71" s="694"/>
      <c r="D71" s="842"/>
      <c r="E71" s="503"/>
      <c r="F71" s="503"/>
      <c r="G71" s="713"/>
      <c r="H71" s="687"/>
      <c r="I71" s="713"/>
      <c r="J71" s="687"/>
      <c r="K71" s="248"/>
      <c r="L71" s="256"/>
      <c r="M71" s="256"/>
      <c r="N71" s="256"/>
      <c r="O71" s="256"/>
      <c r="P71" s="238"/>
      <c r="Q71" s="238"/>
      <c r="R71" s="238"/>
      <c r="S71" s="238"/>
      <c r="T71" s="238"/>
      <c r="U71" s="238"/>
      <c r="V71" s="238"/>
      <c r="W71" s="238"/>
      <c r="X71" s="238"/>
      <c r="Y71" s="238"/>
      <c r="Z71" s="238"/>
      <c r="AA71" s="238"/>
      <c r="AB71" s="238"/>
      <c r="AC71" s="238"/>
      <c r="AD71" s="238"/>
      <c r="AE71" s="238"/>
      <c r="AF71" s="238"/>
      <c r="AG71" s="238"/>
      <c r="AH71" s="238"/>
      <c r="AI71" s="238"/>
      <c r="AJ71" s="238"/>
      <c r="AK71" s="238"/>
    </row>
    <row r="72" spans="1:37" s="241" customFormat="1" ht="15.75">
      <c r="B72" s="1085" t="s">
        <v>184</v>
      </c>
      <c r="C72" s="1085"/>
      <c r="D72" s="1086">
        <f>D42+D52+D58+D70+D41</f>
        <v>0</v>
      </c>
      <c r="E72" s="1087"/>
      <c r="F72" s="1087"/>
      <c r="G72" s="1088">
        <f>G42+G52+G58+G70</f>
        <v>0</v>
      </c>
      <c r="H72" s="1089"/>
      <c r="I72" s="1088">
        <f>I42+I52+I58+I70</f>
        <v>0</v>
      </c>
      <c r="J72" s="853" t="e">
        <f>I72/D72</f>
        <v>#DIV/0!</v>
      </c>
      <c r="K72" s="248"/>
      <c r="L72" s="248"/>
      <c r="M72" s="248"/>
      <c r="N72" s="248"/>
      <c r="O72" s="248"/>
    </row>
    <row r="73" spans="1:37">
      <c r="B73" s="684"/>
      <c r="C73" s="684"/>
      <c r="D73" s="706"/>
      <c r="E73" s="684"/>
      <c r="F73" s="684"/>
      <c r="G73" s="847"/>
      <c r="H73" s="848"/>
      <c r="I73" s="847"/>
      <c r="J73" s="687"/>
      <c r="K73" s="256"/>
      <c r="L73" s="653"/>
      <c r="M73" s="657"/>
      <c r="N73" s="651"/>
      <c r="O73" s="658"/>
    </row>
    <row r="74" spans="1:37" s="238" customFormat="1" ht="15.75">
      <c r="A74" s="241"/>
      <c r="B74" s="276" t="s">
        <v>368</v>
      </c>
      <c r="C74" s="691"/>
      <c r="D74" s="899"/>
      <c r="E74" s="750" t="e">
        <f>D74/D78</f>
        <v>#DIV/0!</v>
      </c>
      <c r="F74" s="852" t="s">
        <v>414</v>
      </c>
      <c r="G74" s="878" t="s">
        <v>375</v>
      </c>
      <c r="H74" s="686"/>
      <c r="I74" s="886">
        <f t="shared" ref="I74:I76" si="4">IF(G74="Y",(D74),0)</f>
        <v>0</v>
      </c>
      <c r="J74" s="688"/>
      <c r="K74" s="256"/>
      <c r="L74" s="653"/>
      <c r="M74" s="657"/>
      <c r="N74" s="651"/>
      <c r="O74" s="658"/>
    </row>
    <row r="75" spans="1:37" ht="17.25">
      <c r="B75" s="276"/>
      <c r="C75" s="691"/>
      <c r="D75" s="1046"/>
      <c r="E75" s="713"/>
      <c r="F75" s="683"/>
      <c r="G75" s="850"/>
      <c r="H75" s="686"/>
      <c r="I75" s="851"/>
      <c r="J75" s="688"/>
    </row>
    <row r="76" spans="1:37" s="238" customFormat="1" ht="15.75">
      <c r="A76" s="241"/>
      <c r="B76" s="237" t="s">
        <v>63</v>
      </c>
      <c r="C76" s="248"/>
      <c r="D76" s="899"/>
      <c r="E76" s="849"/>
      <c r="F76" s="682"/>
      <c r="G76" s="878" t="s">
        <v>375</v>
      </c>
      <c r="H76" s="686"/>
      <c r="I76" s="886">
        <f t="shared" si="4"/>
        <v>0</v>
      </c>
      <c r="J76" s="688"/>
      <c r="K76" s="256"/>
      <c r="L76" s="256"/>
      <c r="M76" s="256"/>
      <c r="N76" s="256"/>
      <c r="O76" s="256"/>
    </row>
    <row r="77" spans="1:37" s="238" customFormat="1" ht="15.75" thickBot="1">
      <c r="A77" s="241"/>
      <c r="B77" s="248"/>
      <c r="C77" s="248"/>
      <c r="D77" s="709"/>
      <c r="E77" s="248"/>
      <c r="F77" s="248"/>
      <c r="G77" s="713"/>
      <c r="H77" s="659"/>
      <c r="I77" s="713"/>
      <c r="J77" s="687"/>
      <c r="K77" s="256"/>
      <c r="L77" s="256"/>
      <c r="M77" s="256"/>
      <c r="N77" s="256"/>
      <c r="O77" s="256"/>
    </row>
    <row r="78" spans="1:37" s="238" customFormat="1" ht="16.5" thickBot="1">
      <c r="A78" s="241"/>
      <c r="B78" s="303" t="s">
        <v>351</v>
      </c>
      <c r="C78" s="241"/>
      <c r="D78" s="901">
        <f>D9+D25+D72+D74+D76</f>
        <v>0</v>
      </c>
      <c r="E78" s="661"/>
      <c r="F78" s="646"/>
      <c r="G78" s="715"/>
      <c r="H78" s="715"/>
      <c r="I78" s="715">
        <f>I76+I74+I72+I8+I25</f>
        <v>0</v>
      </c>
      <c r="J78" s="687"/>
      <c r="K78" s="256"/>
      <c r="L78" s="256"/>
      <c r="M78" s="256"/>
      <c r="N78" s="256"/>
      <c r="O78" s="256"/>
    </row>
    <row r="79" spans="1:37" s="238" customFormat="1" ht="15.75" thickBot="1">
      <c r="A79" s="241"/>
      <c r="B79" s="1090"/>
      <c r="C79" s="1090"/>
      <c r="D79" s="1091"/>
      <c r="E79" s="1090"/>
      <c r="F79" s="1090"/>
      <c r="G79" s="1092"/>
      <c r="H79" s="1093"/>
      <c r="I79" s="1094"/>
      <c r="J79" s="727"/>
      <c r="K79" s="256"/>
      <c r="L79" s="256"/>
      <c r="M79" s="256"/>
      <c r="N79" s="256"/>
      <c r="O79" s="256"/>
    </row>
    <row r="80" spans="1:37" s="238" customFormat="1" ht="15.75" thickTop="1">
      <c r="A80" s="241"/>
      <c r="C80" s="241"/>
      <c r="D80" s="703"/>
      <c r="F80" s="662"/>
      <c r="G80" s="716"/>
      <c r="H80" s="321"/>
      <c r="I80" s="710"/>
      <c r="J80" s="321"/>
    </row>
    <row r="81" spans="1:10" s="238" customFormat="1">
      <c r="A81" s="241"/>
      <c r="C81" s="241"/>
      <c r="D81" s="703"/>
      <c r="F81" s="662"/>
      <c r="G81" s="710"/>
      <c r="H81" s="321"/>
      <c r="I81" s="710"/>
      <c r="J81" s="321"/>
    </row>
    <row r="82" spans="1:10" s="238" customFormat="1">
      <c r="A82" s="241"/>
      <c r="C82" s="241"/>
      <c r="D82" s="703"/>
      <c r="F82" s="662"/>
      <c r="G82" s="710"/>
      <c r="H82" s="321"/>
      <c r="I82" s="710"/>
      <c r="J82" s="321"/>
    </row>
    <row r="83" spans="1:10" s="238" customFormat="1">
      <c r="A83" s="241"/>
      <c r="C83" s="241"/>
      <c r="D83" s="703"/>
      <c r="G83" s="710"/>
      <c r="H83" s="321"/>
      <c r="I83" s="710"/>
      <c r="J83" s="321"/>
    </row>
    <row r="84" spans="1:10" s="238" customFormat="1">
      <c r="A84" s="241"/>
      <c r="C84" s="241"/>
      <c r="D84" s="703"/>
      <c r="G84" s="710"/>
      <c r="H84" s="321"/>
      <c r="I84" s="710"/>
      <c r="J84" s="321"/>
    </row>
    <row r="85" spans="1:10" s="238" customFormat="1">
      <c r="A85" s="241"/>
      <c r="C85" s="241"/>
      <c r="D85" s="703"/>
      <c r="G85" s="710"/>
      <c r="H85" s="321"/>
      <c r="I85" s="710"/>
      <c r="J85" s="321"/>
    </row>
    <row r="86" spans="1:10" s="238" customFormat="1">
      <c r="A86" s="241"/>
      <c r="C86" s="241"/>
      <c r="D86" s="703"/>
      <c r="G86" s="710"/>
      <c r="H86" s="321"/>
      <c r="I86" s="710"/>
      <c r="J86" s="321"/>
    </row>
    <row r="87" spans="1:10" s="238" customFormat="1">
      <c r="A87" s="241"/>
      <c r="C87" s="241"/>
      <c r="D87" s="703"/>
      <c r="G87" s="710"/>
      <c r="H87" s="321"/>
      <c r="I87" s="710"/>
      <c r="J87" s="321"/>
    </row>
    <row r="88" spans="1:10" s="238" customFormat="1">
      <c r="A88" s="241"/>
      <c r="C88" s="241"/>
      <c r="D88" s="703"/>
      <c r="G88" s="710"/>
      <c r="H88" s="321"/>
      <c r="I88" s="710"/>
      <c r="J88" s="321"/>
    </row>
    <row r="89" spans="1:10" s="238" customFormat="1">
      <c r="A89" s="241"/>
      <c r="C89" s="241"/>
      <c r="D89" s="703"/>
      <c r="G89" s="710"/>
      <c r="H89" s="321"/>
      <c r="I89" s="710"/>
      <c r="J89" s="321"/>
    </row>
    <row r="90" spans="1:10" s="238" customFormat="1">
      <c r="A90" s="241"/>
      <c r="C90" s="241"/>
      <c r="D90" s="703"/>
      <c r="G90" s="710"/>
      <c r="H90" s="321"/>
      <c r="I90" s="710"/>
      <c r="J90" s="321"/>
    </row>
    <row r="91" spans="1:10" s="238" customFormat="1">
      <c r="A91" s="241"/>
      <c r="C91" s="241"/>
      <c r="D91" s="703"/>
      <c r="G91" s="710"/>
      <c r="H91" s="321"/>
      <c r="I91" s="710"/>
      <c r="J91" s="321"/>
    </row>
    <row r="92" spans="1:10" s="238" customFormat="1">
      <c r="A92" s="241"/>
      <c r="C92" s="241"/>
      <c r="D92" s="703"/>
      <c r="G92" s="710"/>
      <c r="H92" s="321"/>
      <c r="I92" s="710"/>
      <c r="J92" s="321"/>
    </row>
    <row r="93" spans="1:10" s="238" customFormat="1">
      <c r="A93" s="241"/>
      <c r="C93" s="241"/>
      <c r="D93" s="703"/>
      <c r="G93" s="710"/>
      <c r="H93" s="321"/>
      <c r="I93" s="710"/>
      <c r="J93" s="321"/>
    </row>
    <row r="94" spans="1:10" s="238" customFormat="1">
      <c r="A94" s="241"/>
      <c r="C94" s="241"/>
      <c r="D94" s="703"/>
      <c r="G94" s="710"/>
      <c r="H94" s="321"/>
      <c r="I94" s="710"/>
      <c r="J94" s="321"/>
    </row>
    <row r="95" spans="1:10" s="238" customFormat="1">
      <c r="A95" s="241"/>
      <c r="C95" s="241"/>
      <c r="D95" s="703"/>
      <c r="G95" s="710"/>
      <c r="H95" s="321"/>
      <c r="I95" s="710"/>
      <c r="J95" s="321"/>
    </row>
    <row r="96" spans="1:10" s="238" customFormat="1">
      <c r="A96" s="241"/>
      <c r="C96" s="241"/>
      <c r="D96" s="703"/>
      <c r="G96" s="710"/>
      <c r="H96" s="321"/>
      <c r="I96" s="710"/>
      <c r="J96" s="321"/>
    </row>
    <row r="97" spans="1:10" s="238" customFormat="1">
      <c r="A97" s="241"/>
      <c r="C97" s="241"/>
      <c r="D97" s="703"/>
      <c r="G97" s="710"/>
      <c r="H97" s="321"/>
      <c r="I97" s="710"/>
      <c r="J97" s="321"/>
    </row>
    <row r="98" spans="1:10" s="238" customFormat="1">
      <c r="A98" s="241"/>
      <c r="C98" s="241"/>
      <c r="D98" s="703"/>
      <c r="G98" s="710"/>
      <c r="H98" s="321"/>
      <c r="I98" s="710"/>
      <c r="J98" s="321"/>
    </row>
    <row r="99" spans="1:10" s="238" customFormat="1">
      <c r="A99" s="241"/>
      <c r="C99" s="241"/>
      <c r="D99" s="703"/>
      <c r="G99" s="710"/>
      <c r="H99" s="321"/>
      <c r="I99" s="710"/>
      <c r="J99" s="321"/>
    </row>
    <row r="100" spans="1:10" s="238" customFormat="1">
      <c r="A100" s="241"/>
      <c r="C100" s="241"/>
      <c r="D100" s="703"/>
      <c r="G100" s="710"/>
      <c r="H100" s="321"/>
      <c r="I100" s="710"/>
      <c r="J100" s="321"/>
    </row>
    <row r="101" spans="1:10" s="238" customFormat="1">
      <c r="A101" s="241"/>
      <c r="C101" s="241"/>
      <c r="D101" s="703"/>
      <c r="G101" s="710"/>
      <c r="H101" s="321"/>
      <c r="I101" s="710"/>
      <c r="J101" s="321"/>
    </row>
    <row r="102" spans="1:10" s="238" customFormat="1">
      <c r="A102" s="241"/>
      <c r="C102" s="241"/>
      <c r="D102" s="703"/>
      <c r="G102" s="710"/>
      <c r="H102" s="321"/>
      <c r="I102" s="710"/>
      <c r="J102" s="321"/>
    </row>
    <row r="103" spans="1:10" s="238" customFormat="1">
      <c r="A103" s="241"/>
      <c r="C103" s="241"/>
      <c r="D103" s="703"/>
      <c r="G103" s="710"/>
      <c r="H103" s="321"/>
      <c r="I103" s="710"/>
      <c r="J103" s="321"/>
    </row>
    <row r="104" spans="1:10" s="238" customFormat="1" hidden="1">
      <c r="A104" s="241"/>
      <c r="B104" s="887" t="s">
        <v>375</v>
      </c>
      <c r="C104" s="241"/>
      <c r="D104" s="703"/>
      <c r="G104" s="710"/>
      <c r="H104" s="321"/>
      <c r="I104" s="710"/>
      <c r="J104" s="321"/>
    </row>
    <row r="105" spans="1:10" s="238" customFormat="1" hidden="1">
      <c r="A105" s="241"/>
      <c r="B105" s="247" t="s">
        <v>373</v>
      </c>
      <c r="C105" s="241"/>
      <c r="D105" s="703"/>
      <c r="G105" s="710"/>
      <c r="H105" s="321"/>
      <c r="I105" s="710"/>
      <c r="J105" s="321"/>
    </row>
    <row r="106" spans="1:10" s="238" customFormat="1" hidden="1">
      <c r="A106" s="241"/>
      <c r="B106" s="247" t="s">
        <v>374</v>
      </c>
      <c r="C106" s="241"/>
      <c r="D106" s="703"/>
      <c r="G106" s="710"/>
      <c r="H106" s="321"/>
      <c r="I106" s="710"/>
      <c r="J106" s="321"/>
    </row>
    <row r="107" spans="1:10" s="238" customFormat="1">
      <c r="A107" s="241"/>
      <c r="C107" s="241"/>
      <c r="D107" s="703"/>
      <c r="G107" s="710"/>
      <c r="H107" s="321"/>
      <c r="I107" s="710"/>
      <c r="J107" s="321"/>
    </row>
    <row r="108" spans="1:10" s="238" customFormat="1">
      <c r="A108" s="241"/>
      <c r="C108" s="241"/>
      <c r="D108" s="703"/>
      <c r="G108" s="710"/>
      <c r="H108" s="321"/>
      <c r="I108" s="710"/>
      <c r="J108" s="321"/>
    </row>
    <row r="109" spans="1:10" s="238" customFormat="1">
      <c r="A109" s="241"/>
      <c r="C109" s="241"/>
      <c r="D109" s="703"/>
      <c r="G109" s="710"/>
      <c r="H109" s="321"/>
      <c r="I109" s="710"/>
      <c r="J109" s="321"/>
    </row>
    <row r="110" spans="1:10" s="238" customFormat="1">
      <c r="A110" s="241"/>
      <c r="C110" s="241"/>
      <c r="D110" s="703"/>
      <c r="G110" s="710"/>
      <c r="H110" s="321"/>
      <c r="I110" s="710"/>
      <c r="J110" s="321"/>
    </row>
    <row r="111" spans="1:10" s="238" customFormat="1">
      <c r="A111" s="241"/>
      <c r="C111" s="241"/>
      <c r="D111" s="703"/>
      <c r="G111" s="710"/>
      <c r="H111" s="321"/>
      <c r="I111" s="710"/>
      <c r="J111" s="321"/>
    </row>
    <row r="112" spans="1:10" s="238" customFormat="1">
      <c r="A112" s="241"/>
      <c r="C112" s="241"/>
      <c r="D112" s="703"/>
      <c r="G112" s="710"/>
      <c r="H112" s="321"/>
      <c r="I112" s="710"/>
      <c r="J112" s="321"/>
    </row>
    <row r="113" spans="1:10" s="238" customFormat="1">
      <c r="A113" s="241"/>
      <c r="C113" s="241"/>
      <c r="D113" s="703"/>
      <c r="G113" s="710"/>
      <c r="H113" s="321"/>
      <c r="I113" s="710"/>
      <c r="J113" s="321"/>
    </row>
    <row r="114" spans="1:10" s="238" customFormat="1">
      <c r="A114" s="241"/>
      <c r="C114" s="241"/>
      <c r="D114" s="703"/>
      <c r="G114" s="710"/>
      <c r="H114" s="321"/>
      <c r="I114" s="710"/>
      <c r="J114" s="321"/>
    </row>
    <row r="115" spans="1:10" s="238" customFormat="1">
      <c r="A115" s="241"/>
      <c r="C115" s="241"/>
      <c r="D115" s="703"/>
      <c r="G115" s="710"/>
      <c r="H115" s="321"/>
      <c r="I115" s="710"/>
      <c r="J115" s="321"/>
    </row>
    <row r="116" spans="1:10" s="238" customFormat="1">
      <c r="A116" s="241"/>
      <c r="C116" s="241"/>
      <c r="D116" s="703"/>
      <c r="G116" s="710"/>
      <c r="H116" s="321"/>
      <c r="I116" s="710"/>
      <c r="J116" s="321"/>
    </row>
    <row r="117" spans="1:10" s="238" customFormat="1">
      <c r="A117" s="241"/>
      <c r="C117" s="241"/>
      <c r="D117" s="703"/>
      <c r="G117" s="710"/>
      <c r="H117" s="321"/>
      <c r="I117" s="710"/>
      <c r="J117" s="321"/>
    </row>
    <row r="118" spans="1:10" s="238" customFormat="1">
      <c r="A118" s="241"/>
      <c r="C118" s="241"/>
      <c r="D118" s="703"/>
      <c r="G118" s="710"/>
      <c r="H118" s="321"/>
      <c r="I118" s="710"/>
      <c r="J118" s="321"/>
    </row>
    <row r="119" spans="1:10" s="238" customFormat="1">
      <c r="A119" s="241"/>
      <c r="C119" s="241"/>
      <c r="D119" s="703"/>
      <c r="G119" s="710"/>
      <c r="H119" s="321"/>
      <c r="I119" s="710"/>
      <c r="J119" s="321"/>
    </row>
    <row r="120" spans="1:10" s="238" customFormat="1">
      <c r="A120" s="241"/>
      <c r="C120" s="241"/>
      <c r="D120" s="703"/>
      <c r="G120" s="710"/>
      <c r="H120" s="321"/>
      <c r="I120" s="710"/>
      <c r="J120" s="321"/>
    </row>
    <row r="121" spans="1:10" s="238" customFormat="1">
      <c r="A121" s="241"/>
      <c r="C121" s="241"/>
      <c r="D121" s="703"/>
      <c r="G121" s="710"/>
      <c r="H121" s="321"/>
      <c r="I121" s="710"/>
      <c r="J121" s="321"/>
    </row>
    <row r="122" spans="1:10" s="238" customFormat="1">
      <c r="A122" s="241"/>
      <c r="C122" s="241"/>
      <c r="D122" s="703"/>
      <c r="G122" s="710"/>
      <c r="H122" s="321"/>
      <c r="I122" s="710"/>
      <c r="J122" s="321"/>
    </row>
    <row r="123" spans="1:10" s="238" customFormat="1">
      <c r="A123" s="241"/>
      <c r="C123" s="241"/>
      <c r="D123" s="703"/>
      <c r="G123" s="710"/>
      <c r="H123" s="321"/>
      <c r="I123" s="710"/>
      <c r="J123" s="321"/>
    </row>
    <row r="124" spans="1:10" s="238" customFormat="1">
      <c r="A124" s="241"/>
      <c r="C124" s="241"/>
      <c r="D124" s="703"/>
      <c r="G124" s="710"/>
      <c r="H124" s="321"/>
      <c r="I124" s="710"/>
      <c r="J124" s="321"/>
    </row>
    <row r="125" spans="1:10" s="238" customFormat="1">
      <c r="A125" s="241"/>
      <c r="C125" s="241"/>
      <c r="D125" s="703"/>
      <c r="G125" s="710"/>
      <c r="H125" s="321"/>
      <c r="I125" s="710"/>
      <c r="J125" s="321"/>
    </row>
    <row r="126" spans="1:10" s="238" customFormat="1">
      <c r="A126" s="241"/>
      <c r="C126" s="241"/>
      <c r="D126" s="703"/>
      <c r="G126" s="710"/>
      <c r="H126" s="321"/>
      <c r="I126" s="710"/>
      <c r="J126" s="321"/>
    </row>
    <row r="127" spans="1:10" s="238" customFormat="1">
      <c r="A127" s="241"/>
      <c r="C127" s="241"/>
      <c r="D127" s="703"/>
      <c r="G127" s="710"/>
      <c r="H127" s="321"/>
      <c r="I127" s="710"/>
      <c r="J127" s="321"/>
    </row>
    <row r="128" spans="1:10" s="238" customFormat="1">
      <c r="A128" s="241"/>
      <c r="C128" s="241"/>
      <c r="D128" s="703"/>
      <c r="G128" s="710"/>
      <c r="H128" s="321"/>
      <c r="I128" s="710"/>
      <c r="J128" s="321"/>
    </row>
    <row r="129" spans="1:10" s="238" customFormat="1">
      <c r="A129" s="241"/>
      <c r="C129" s="241"/>
      <c r="D129" s="703"/>
      <c r="G129" s="710"/>
      <c r="H129" s="321"/>
      <c r="I129" s="710"/>
      <c r="J129" s="321"/>
    </row>
    <row r="130" spans="1:10" s="238" customFormat="1">
      <c r="A130" s="241"/>
      <c r="C130" s="241"/>
      <c r="D130" s="703"/>
      <c r="G130" s="710"/>
      <c r="H130" s="321"/>
      <c r="I130" s="710"/>
      <c r="J130" s="321"/>
    </row>
    <row r="131" spans="1:10" s="238" customFormat="1">
      <c r="A131" s="241"/>
      <c r="C131" s="241"/>
      <c r="D131" s="703"/>
      <c r="G131" s="710"/>
      <c r="H131" s="321"/>
      <c r="I131" s="710"/>
      <c r="J131" s="321"/>
    </row>
    <row r="132" spans="1:10" s="238" customFormat="1">
      <c r="A132" s="241"/>
      <c r="C132" s="241"/>
      <c r="D132" s="703"/>
      <c r="G132" s="710"/>
      <c r="H132" s="321"/>
      <c r="I132" s="710"/>
      <c r="J132" s="321"/>
    </row>
    <row r="133" spans="1:10" s="238" customFormat="1">
      <c r="A133" s="241"/>
      <c r="C133" s="241"/>
      <c r="D133" s="703"/>
      <c r="G133" s="710"/>
      <c r="H133" s="321"/>
      <c r="I133" s="710"/>
      <c r="J133" s="321"/>
    </row>
    <row r="134" spans="1:10" s="238" customFormat="1">
      <c r="A134" s="241"/>
      <c r="C134" s="241"/>
      <c r="D134" s="703"/>
      <c r="G134" s="710"/>
      <c r="H134" s="321"/>
      <c r="I134" s="710"/>
      <c r="J134" s="321"/>
    </row>
    <row r="135" spans="1:10" s="238" customFormat="1">
      <c r="A135" s="241"/>
      <c r="C135" s="241"/>
      <c r="D135" s="703"/>
      <c r="G135" s="710"/>
      <c r="H135" s="321"/>
      <c r="I135" s="710"/>
      <c r="J135" s="321"/>
    </row>
    <row r="136" spans="1:10" s="238" customFormat="1">
      <c r="A136" s="241"/>
      <c r="C136" s="241"/>
      <c r="D136" s="703"/>
      <c r="G136" s="710"/>
      <c r="H136" s="321"/>
      <c r="I136" s="710"/>
      <c r="J136" s="321"/>
    </row>
    <row r="137" spans="1:10" s="238" customFormat="1">
      <c r="A137" s="241"/>
      <c r="C137" s="241"/>
      <c r="D137" s="703"/>
      <c r="G137" s="710"/>
      <c r="H137" s="321"/>
      <c r="I137" s="710"/>
      <c r="J137" s="321"/>
    </row>
    <row r="138" spans="1:10" s="238" customFormat="1">
      <c r="A138" s="241"/>
      <c r="C138" s="241"/>
      <c r="D138" s="703"/>
      <c r="G138" s="710"/>
      <c r="H138" s="321"/>
      <c r="I138" s="710"/>
      <c r="J138" s="321"/>
    </row>
    <row r="139" spans="1:10" s="238" customFormat="1">
      <c r="A139" s="241"/>
      <c r="C139" s="241"/>
      <c r="D139" s="703"/>
      <c r="G139" s="710"/>
      <c r="H139" s="321"/>
      <c r="I139" s="710"/>
      <c r="J139" s="321"/>
    </row>
    <row r="140" spans="1:10" s="238" customFormat="1">
      <c r="A140" s="241"/>
      <c r="C140" s="241"/>
      <c r="D140" s="703"/>
      <c r="G140" s="710"/>
      <c r="H140" s="321"/>
      <c r="I140" s="710"/>
      <c r="J140" s="321"/>
    </row>
    <row r="141" spans="1:10" s="238" customFormat="1">
      <c r="A141" s="241"/>
      <c r="C141" s="241"/>
      <c r="D141" s="703"/>
      <c r="G141" s="710"/>
      <c r="H141" s="321"/>
      <c r="I141" s="710"/>
      <c r="J141" s="321"/>
    </row>
    <row r="142" spans="1:10" s="238" customFormat="1">
      <c r="A142" s="241"/>
      <c r="C142" s="241"/>
      <c r="D142" s="703"/>
      <c r="G142" s="710"/>
      <c r="H142" s="321"/>
      <c r="I142" s="710"/>
      <c r="J142" s="321"/>
    </row>
    <row r="143" spans="1:10" s="238" customFormat="1">
      <c r="A143" s="241"/>
      <c r="C143" s="241"/>
      <c r="D143" s="703"/>
      <c r="G143" s="710"/>
      <c r="H143" s="321"/>
      <c r="I143" s="710"/>
      <c r="J143" s="321"/>
    </row>
    <row r="144" spans="1:10" s="238" customFormat="1">
      <c r="A144" s="241"/>
      <c r="C144" s="241"/>
      <c r="D144" s="703"/>
      <c r="G144" s="710"/>
      <c r="H144" s="321"/>
      <c r="I144" s="710"/>
      <c r="J144" s="321"/>
    </row>
    <row r="145" spans="1:10" s="238" customFormat="1">
      <c r="A145" s="241"/>
      <c r="C145" s="241"/>
      <c r="D145" s="703"/>
      <c r="G145" s="710"/>
      <c r="H145" s="321"/>
      <c r="I145" s="710"/>
      <c r="J145" s="321"/>
    </row>
    <row r="146" spans="1:10" s="238" customFormat="1">
      <c r="A146" s="241"/>
      <c r="C146" s="241"/>
      <c r="D146" s="703"/>
      <c r="G146" s="710"/>
      <c r="H146" s="321"/>
      <c r="I146" s="710"/>
      <c r="J146" s="321"/>
    </row>
    <row r="147" spans="1:10" s="238" customFormat="1">
      <c r="A147" s="241"/>
      <c r="C147" s="241"/>
      <c r="D147" s="703"/>
      <c r="G147" s="710"/>
      <c r="H147" s="321"/>
      <c r="I147" s="710"/>
      <c r="J147" s="321"/>
    </row>
    <row r="148" spans="1:10" s="238" customFormat="1">
      <c r="A148" s="241"/>
      <c r="C148" s="241"/>
      <c r="D148" s="703"/>
      <c r="G148" s="710"/>
      <c r="H148" s="321"/>
      <c r="I148" s="710"/>
      <c r="J148" s="321"/>
    </row>
    <row r="149" spans="1:10" s="238" customFormat="1">
      <c r="A149" s="241"/>
      <c r="C149" s="241"/>
      <c r="D149" s="703"/>
      <c r="G149" s="710"/>
      <c r="H149" s="321"/>
      <c r="I149" s="710"/>
      <c r="J149" s="321"/>
    </row>
    <row r="150" spans="1:10" s="238" customFormat="1">
      <c r="A150" s="241"/>
      <c r="C150" s="241"/>
      <c r="D150" s="703"/>
      <c r="G150" s="710"/>
      <c r="H150" s="321"/>
      <c r="I150" s="710"/>
      <c r="J150" s="321"/>
    </row>
    <row r="151" spans="1:10" s="238" customFormat="1">
      <c r="A151" s="241"/>
      <c r="C151" s="241"/>
      <c r="D151" s="703"/>
      <c r="G151" s="710"/>
      <c r="H151" s="321"/>
      <c r="I151" s="710"/>
      <c r="J151" s="321"/>
    </row>
    <row r="152" spans="1:10" s="238" customFormat="1">
      <c r="A152" s="241"/>
      <c r="C152" s="241"/>
      <c r="D152" s="703"/>
      <c r="G152" s="710"/>
      <c r="H152" s="321"/>
      <c r="I152" s="710"/>
      <c r="J152" s="321"/>
    </row>
    <row r="153" spans="1:10" s="238" customFormat="1">
      <c r="A153" s="241"/>
      <c r="C153" s="241"/>
      <c r="D153" s="703"/>
      <c r="G153" s="710"/>
      <c r="H153" s="321"/>
      <c r="I153" s="710"/>
      <c r="J153" s="321"/>
    </row>
    <row r="154" spans="1:10" s="238" customFormat="1">
      <c r="A154" s="241"/>
      <c r="C154" s="241"/>
      <c r="D154" s="703"/>
      <c r="G154" s="710"/>
      <c r="H154" s="321"/>
      <c r="I154" s="710"/>
      <c r="J154" s="321"/>
    </row>
    <row r="155" spans="1:10" s="238" customFormat="1">
      <c r="A155" s="241"/>
      <c r="C155" s="241"/>
      <c r="D155" s="703"/>
      <c r="G155" s="710"/>
      <c r="H155" s="321"/>
      <c r="I155" s="710"/>
      <c r="J155" s="321"/>
    </row>
    <row r="156" spans="1:10" s="238" customFormat="1">
      <c r="A156" s="241"/>
      <c r="C156" s="241"/>
      <c r="D156" s="703"/>
      <c r="G156" s="710"/>
      <c r="H156" s="321"/>
      <c r="I156" s="710"/>
      <c r="J156" s="321"/>
    </row>
    <row r="157" spans="1:10" s="238" customFormat="1">
      <c r="A157" s="241"/>
      <c r="C157" s="241"/>
      <c r="D157" s="703"/>
      <c r="G157" s="710"/>
      <c r="H157" s="321"/>
      <c r="I157" s="710"/>
      <c r="J157" s="321"/>
    </row>
    <row r="158" spans="1:10" s="238" customFormat="1">
      <c r="A158" s="241"/>
      <c r="C158" s="241"/>
      <c r="D158" s="703"/>
      <c r="G158" s="710"/>
      <c r="H158" s="321"/>
      <c r="I158" s="710"/>
      <c r="J158" s="321"/>
    </row>
    <row r="159" spans="1:10" s="238" customFormat="1">
      <c r="A159" s="241"/>
      <c r="C159" s="241"/>
      <c r="D159" s="703"/>
      <c r="G159" s="710"/>
      <c r="H159" s="321"/>
      <c r="I159" s="710"/>
      <c r="J159" s="321"/>
    </row>
    <row r="160" spans="1:10" s="238" customFormat="1">
      <c r="A160" s="241"/>
      <c r="C160" s="241"/>
      <c r="D160" s="703"/>
      <c r="G160" s="710"/>
      <c r="H160" s="321"/>
      <c r="I160" s="710"/>
      <c r="J160" s="321"/>
    </row>
    <row r="161" spans="1:10" s="238" customFormat="1">
      <c r="A161" s="241"/>
      <c r="C161" s="241"/>
      <c r="D161" s="703"/>
      <c r="G161" s="710"/>
      <c r="H161" s="321"/>
      <c r="I161" s="710"/>
      <c r="J161" s="321"/>
    </row>
    <row r="162" spans="1:10" s="238" customFormat="1">
      <c r="A162" s="241"/>
      <c r="C162" s="241"/>
      <c r="D162" s="703"/>
      <c r="G162" s="710"/>
      <c r="H162" s="321"/>
      <c r="I162" s="710"/>
      <c r="J162" s="321"/>
    </row>
    <row r="163" spans="1:10" s="238" customFormat="1">
      <c r="A163" s="241"/>
      <c r="C163" s="241"/>
      <c r="D163" s="703"/>
      <c r="G163" s="710"/>
      <c r="H163" s="321"/>
      <c r="I163" s="710"/>
      <c r="J163" s="321"/>
    </row>
    <row r="164" spans="1:10" s="238" customFormat="1">
      <c r="A164" s="241"/>
      <c r="C164" s="241"/>
      <c r="D164" s="703"/>
      <c r="G164" s="710"/>
      <c r="H164" s="321"/>
      <c r="I164" s="710"/>
      <c r="J164" s="321"/>
    </row>
    <row r="165" spans="1:10" s="238" customFormat="1">
      <c r="A165" s="241"/>
      <c r="C165" s="241"/>
      <c r="D165" s="703"/>
      <c r="G165" s="710"/>
      <c r="H165" s="321"/>
      <c r="I165" s="710"/>
      <c r="J165" s="321"/>
    </row>
    <row r="166" spans="1:10" s="238" customFormat="1">
      <c r="A166" s="241"/>
      <c r="C166" s="241"/>
      <c r="D166" s="703"/>
      <c r="G166" s="710"/>
      <c r="H166" s="321"/>
      <c r="I166" s="710"/>
      <c r="J166" s="321"/>
    </row>
    <row r="167" spans="1:10" s="238" customFormat="1">
      <c r="A167" s="241"/>
      <c r="C167" s="241"/>
      <c r="D167" s="703"/>
      <c r="G167" s="710"/>
      <c r="H167" s="321"/>
      <c r="I167" s="710"/>
      <c r="J167" s="321"/>
    </row>
    <row r="168" spans="1:10" s="238" customFormat="1">
      <c r="A168" s="241"/>
      <c r="C168" s="241"/>
      <c r="D168" s="703"/>
      <c r="G168" s="710"/>
      <c r="H168" s="321"/>
      <c r="I168" s="710"/>
      <c r="J168" s="321"/>
    </row>
    <row r="169" spans="1:10" s="238" customFormat="1">
      <c r="A169" s="241"/>
      <c r="C169" s="241"/>
      <c r="D169" s="703"/>
      <c r="G169" s="710"/>
      <c r="H169" s="321"/>
      <c r="I169" s="710"/>
      <c r="J169" s="321"/>
    </row>
    <row r="170" spans="1:10" s="238" customFormat="1">
      <c r="A170" s="241"/>
      <c r="C170" s="241"/>
      <c r="D170" s="703"/>
      <c r="G170" s="710"/>
      <c r="H170" s="321"/>
      <c r="I170" s="710"/>
      <c r="J170" s="321"/>
    </row>
    <row r="171" spans="1:10" s="238" customFormat="1">
      <c r="A171" s="241"/>
      <c r="C171" s="241"/>
      <c r="D171" s="703"/>
      <c r="G171" s="710"/>
      <c r="H171" s="321"/>
      <c r="I171" s="710"/>
      <c r="J171" s="321"/>
    </row>
    <row r="172" spans="1:10" s="238" customFormat="1">
      <c r="A172" s="241"/>
      <c r="C172" s="241"/>
      <c r="D172" s="703"/>
      <c r="G172" s="710"/>
      <c r="H172" s="321"/>
      <c r="I172" s="710"/>
      <c r="J172" s="321"/>
    </row>
    <row r="173" spans="1:10" s="238" customFormat="1">
      <c r="A173" s="241"/>
      <c r="C173" s="241"/>
      <c r="D173" s="703"/>
      <c r="G173" s="710"/>
      <c r="H173" s="321"/>
      <c r="I173" s="710"/>
      <c r="J173" s="321"/>
    </row>
    <row r="174" spans="1:10" s="238" customFormat="1">
      <c r="A174" s="241"/>
      <c r="C174" s="241"/>
      <c r="D174" s="703"/>
      <c r="G174" s="710"/>
      <c r="H174" s="321"/>
      <c r="I174" s="710"/>
      <c r="J174" s="321"/>
    </row>
    <row r="175" spans="1:10" s="238" customFormat="1">
      <c r="A175" s="241"/>
      <c r="C175" s="241"/>
      <c r="D175" s="703"/>
      <c r="G175" s="710"/>
      <c r="H175" s="321"/>
      <c r="I175" s="710"/>
      <c r="J175" s="321"/>
    </row>
    <row r="176" spans="1:10" s="238" customFormat="1">
      <c r="A176" s="241"/>
      <c r="C176" s="241"/>
      <c r="D176" s="703"/>
      <c r="G176" s="710"/>
      <c r="H176" s="321"/>
      <c r="I176" s="710"/>
      <c r="J176" s="321"/>
    </row>
    <row r="177" spans="1:10" s="238" customFormat="1">
      <c r="A177" s="241"/>
      <c r="C177" s="241"/>
      <c r="D177" s="703"/>
      <c r="G177" s="710"/>
      <c r="H177" s="321"/>
      <c r="I177" s="710"/>
      <c r="J177" s="321"/>
    </row>
    <row r="178" spans="1:10" s="238" customFormat="1">
      <c r="A178" s="241"/>
      <c r="C178" s="241"/>
      <c r="D178" s="703"/>
      <c r="G178" s="710"/>
      <c r="H178" s="321"/>
      <c r="I178" s="710"/>
      <c r="J178" s="321"/>
    </row>
    <row r="179" spans="1:10" s="238" customFormat="1">
      <c r="A179" s="241"/>
      <c r="C179" s="241"/>
      <c r="D179" s="703"/>
      <c r="G179" s="710"/>
      <c r="H179" s="321"/>
      <c r="I179" s="710"/>
      <c r="J179" s="321"/>
    </row>
    <row r="180" spans="1:10" s="238" customFormat="1">
      <c r="A180" s="241"/>
      <c r="C180" s="241"/>
      <c r="D180" s="703"/>
      <c r="G180" s="710"/>
      <c r="H180" s="321"/>
      <c r="I180" s="710"/>
      <c r="J180" s="321"/>
    </row>
    <row r="181" spans="1:10" s="238" customFormat="1">
      <c r="A181" s="241"/>
      <c r="C181" s="241"/>
      <c r="D181" s="703"/>
      <c r="G181" s="710"/>
      <c r="H181" s="321"/>
      <c r="I181" s="710"/>
      <c r="J181" s="321"/>
    </row>
    <row r="182" spans="1:10" s="238" customFormat="1">
      <c r="A182" s="241"/>
      <c r="C182" s="241"/>
      <c r="D182" s="703"/>
      <c r="G182" s="710"/>
      <c r="H182" s="321"/>
      <c r="I182" s="710"/>
      <c r="J182" s="321"/>
    </row>
    <row r="183" spans="1:10" s="238" customFormat="1">
      <c r="A183" s="241"/>
      <c r="C183" s="241"/>
      <c r="D183" s="703"/>
      <c r="G183" s="710"/>
      <c r="H183" s="321"/>
      <c r="I183" s="710"/>
      <c r="J183" s="321"/>
    </row>
    <row r="184" spans="1:10" s="238" customFormat="1">
      <c r="A184" s="241"/>
      <c r="C184" s="241"/>
      <c r="D184" s="703"/>
      <c r="G184" s="710"/>
      <c r="H184" s="321"/>
      <c r="I184" s="710"/>
      <c r="J184" s="321"/>
    </row>
    <row r="185" spans="1:10" s="238" customFormat="1">
      <c r="A185" s="241"/>
      <c r="C185" s="241"/>
      <c r="D185" s="703"/>
      <c r="G185" s="710"/>
      <c r="H185" s="321"/>
      <c r="I185" s="710"/>
      <c r="J185" s="321"/>
    </row>
    <row r="186" spans="1:10" s="238" customFormat="1">
      <c r="A186" s="241"/>
      <c r="C186" s="241"/>
      <c r="D186" s="703"/>
      <c r="G186" s="710"/>
      <c r="H186" s="321"/>
      <c r="I186" s="710"/>
      <c r="J186" s="321"/>
    </row>
    <row r="187" spans="1:10" s="238" customFormat="1">
      <c r="A187" s="241"/>
      <c r="C187" s="241"/>
      <c r="D187" s="703"/>
      <c r="G187" s="710"/>
      <c r="H187" s="321"/>
      <c r="I187" s="710"/>
      <c r="J187" s="321"/>
    </row>
    <row r="188" spans="1:10" s="238" customFormat="1">
      <c r="A188" s="241"/>
      <c r="C188" s="241"/>
      <c r="D188" s="703"/>
      <c r="G188" s="710"/>
      <c r="H188" s="321"/>
      <c r="I188" s="710"/>
      <c r="J188" s="321"/>
    </row>
    <row r="189" spans="1:10" s="238" customFormat="1">
      <c r="A189" s="241"/>
      <c r="C189" s="241"/>
      <c r="D189" s="703"/>
      <c r="G189" s="710"/>
      <c r="H189" s="321"/>
      <c r="I189" s="710"/>
      <c r="J189" s="321"/>
    </row>
    <row r="190" spans="1:10" s="238" customFormat="1">
      <c r="A190" s="241"/>
      <c r="C190" s="241"/>
      <c r="D190" s="703"/>
      <c r="G190" s="710"/>
      <c r="H190" s="321"/>
      <c r="I190" s="710"/>
      <c r="J190" s="321"/>
    </row>
    <row r="191" spans="1:10" s="238" customFormat="1">
      <c r="A191" s="241"/>
      <c r="C191" s="241"/>
      <c r="D191" s="703"/>
      <c r="G191" s="710"/>
      <c r="H191" s="321"/>
      <c r="I191" s="710"/>
      <c r="J191" s="321"/>
    </row>
    <row r="192" spans="1:10" s="238" customFormat="1">
      <c r="A192" s="241"/>
      <c r="C192" s="241"/>
      <c r="D192" s="703"/>
      <c r="G192" s="710"/>
      <c r="H192" s="321"/>
      <c r="I192" s="710"/>
      <c r="J192" s="321"/>
    </row>
    <row r="193" spans="1:10" s="238" customFormat="1">
      <c r="A193" s="241"/>
      <c r="C193" s="241"/>
      <c r="D193" s="703"/>
      <c r="G193" s="710"/>
      <c r="H193" s="321"/>
      <c r="I193" s="710"/>
      <c r="J193" s="321"/>
    </row>
    <row r="194" spans="1:10" s="238" customFormat="1">
      <c r="A194" s="241"/>
      <c r="C194" s="241"/>
      <c r="D194" s="703"/>
      <c r="G194" s="710"/>
      <c r="H194" s="321"/>
      <c r="I194" s="710"/>
      <c r="J194" s="321"/>
    </row>
    <row r="195" spans="1:10" s="238" customFormat="1">
      <c r="A195" s="241"/>
      <c r="C195" s="241"/>
      <c r="D195" s="703"/>
      <c r="G195" s="710"/>
      <c r="H195" s="321"/>
      <c r="I195" s="710"/>
      <c r="J195" s="321"/>
    </row>
    <row r="196" spans="1:10" s="238" customFormat="1">
      <c r="A196" s="241"/>
      <c r="C196" s="241"/>
      <c r="D196" s="703"/>
      <c r="G196" s="710"/>
      <c r="H196" s="321"/>
      <c r="I196" s="710"/>
      <c r="J196" s="321"/>
    </row>
    <row r="197" spans="1:10" s="238" customFormat="1">
      <c r="A197" s="241"/>
      <c r="C197" s="241"/>
      <c r="D197" s="703"/>
      <c r="G197" s="710"/>
      <c r="H197" s="321"/>
      <c r="I197" s="710"/>
      <c r="J197" s="321"/>
    </row>
    <row r="198" spans="1:10" s="238" customFormat="1">
      <c r="A198" s="241"/>
      <c r="C198" s="241"/>
      <c r="D198" s="703"/>
      <c r="G198" s="710"/>
      <c r="H198" s="321"/>
      <c r="I198" s="710"/>
      <c r="J198" s="321"/>
    </row>
    <row r="199" spans="1:10" s="238" customFormat="1">
      <c r="A199" s="241"/>
      <c r="C199" s="241"/>
      <c r="D199" s="703"/>
      <c r="G199" s="710"/>
      <c r="H199" s="321"/>
      <c r="I199" s="710"/>
      <c r="J199" s="321"/>
    </row>
    <row r="200" spans="1:10" s="238" customFormat="1">
      <c r="A200" s="241"/>
      <c r="C200" s="241"/>
      <c r="D200" s="703"/>
      <c r="G200" s="710"/>
      <c r="H200" s="321"/>
      <c r="I200" s="710"/>
      <c r="J200" s="321"/>
    </row>
    <row r="201" spans="1:10" s="238" customFormat="1">
      <c r="A201" s="241"/>
      <c r="C201" s="241"/>
      <c r="D201" s="703"/>
      <c r="G201" s="710"/>
      <c r="H201" s="321"/>
      <c r="I201" s="710"/>
      <c r="J201" s="321"/>
    </row>
    <row r="202" spans="1:10" s="238" customFormat="1">
      <c r="A202" s="241"/>
      <c r="C202" s="241"/>
      <c r="D202" s="703"/>
      <c r="G202" s="710"/>
      <c r="H202" s="321"/>
      <c r="I202" s="710"/>
      <c r="J202" s="321"/>
    </row>
    <row r="203" spans="1:10" s="238" customFormat="1">
      <c r="A203" s="241"/>
      <c r="C203" s="241"/>
      <c r="D203" s="703"/>
      <c r="G203" s="710"/>
      <c r="H203" s="321"/>
      <c r="I203" s="710"/>
      <c r="J203" s="321"/>
    </row>
    <row r="204" spans="1:10" s="238" customFormat="1">
      <c r="A204" s="241"/>
      <c r="C204" s="241"/>
      <c r="D204" s="703"/>
      <c r="G204" s="710"/>
      <c r="H204" s="321"/>
      <c r="I204" s="710"/>
      <c r="J204" s="321"/>
    </row>
    <row r="205" spans="1:10" s="238" customFormat="1">
      <c r="A205" s="241"/>
      <c r="C205" s="241"/>
      <c r="D205" s="703"/>
      <c r="G205" s="710"/>
      <c r="H205" s="321"/>
      <c r="I205" s="710"/>
      <c r="J205" s="321"/>
    </row>
    <row r="206" spans="1:10" s="238" customFormat="1">
      <c r="A206" s="241"/>
      <c r="C206" s="241"/>
      <c r="D206" s="703"/>
      <c r="G206" s="710"/>
      <c r="H206" s="321"/>
      <c r="I206" s="710"/>
      <c r="J206" s="321"/>
    </row>
    <row r="207" spans="1:10" s="238" customFormat="1">
      <c r="A207" s="241"/>
      <c r="C207" s="241"/>
      <c r="D207" s="703"/>
      <c r="G207" s="710"/>
      <c r="H207" s="321"/>
      <c r="I207" s="710"/>
      <c r="J207" s="321"/>
    </row>
    <row r="208" spans="1:10" s="238" customFormat="1">
      <c r="A208" s="241"/>
      <c r="C208" s="241"/>
      <c r="D208" s="703"/>
      <c r="G208" s="710"/>
      <c r="H208" s="321"/>
      <c r="I208" s="710"/>
      <c r="J208" s="321"/>
    </row>
    <row r="209" spans="1:10" s="238" customFormat="1">
      <c r="A209" s="241"/>
      <c r="C209" s="241"/>
      <c r="D209" s="703"/>
      <c r="G209" s="710"/>
      <c r="H209" s="321"/>
      <c r="I209" s="710"/>
      <c r="J209" s="321"/>
    </row>
    <row r="210" spans="1:10" s="238" customFormat="1">
      <c r="A210" s="241"/>
      <c r="C210" s="241"/>
      <c r="D210" s="703"/>
      <c r="G210" s="710"/>
      <c r="H210" s="321"/>
      <c r="I210" s="710"/>
      <c r="J210" s="321"/>
    </row>
    <row r="211" spans="1:10" s="238" customFormat="1">
      <c r="A211" s="241"/>
      <c r="C211" s="241"/>
      <c r="D211" s="703"/>
      <c r="G211" s="710"/>
      <c r="H211" s="321"/>
      <c r="I211" s="710"/>
      <c r="J211" s="321"/>
    </row>
    <row r="212" spans="1:10" s="238" customFormat="1">
      <c r="A212" s="241"/>
      <c r="C212" s="241"/>
      <c r="D212" s="703"/>
      <c r="G212" s="710"/>
      <c r="H212" s="321"/>
      <c r="I212" s="710"/>
      <c r="J212" s="321"/>
    </row>
    <row r="213" spans="1:10" s="238" customFormat="1">
      <c r="A213" s="241"/>
      <c r="C213" s="241"/>
      <c r="D213" s="703"/>
      <c r="G213" s="710"/>
      <c r="H213" s="321"/>
      <c r="I213" s="710"/>
      <c r="J213" s="321"/>
    </row>
    <row r="214" spans="1:10" s="238" customFormat="1">
      <c r="A214" s="241"/>
      <c r="C214" s="241"/>
      <c r="D214" s="703"/>
      <c r="G214" s="710"/>
      <c r="H214" s="321"/>
      <c r="I214" s="710"/>
      <c r="J214" s="321"/>
    </row>
    <row r="215" spans="1:10" s="238" customFormat="1">
      <c r="A215" s="241"/>
      <c r="C215" s="241"/>
      <c r="D215" s="703"/>
      <c r="G215" s="710"/>
      <c r="H215" s="321"/>
      <c r="I215" s="710"/>
      <c r="J215" s="321"/>
    </row>
    <row r="216" spans="1:10" s="238" customFormat="1">
      <c r="A216" s="241"/>
      <c r="C216" s="241"/>
      <c r="D216" s="703"/>
      <c r="G216" s="710"/>
      <c r="H216" s="321"/>
      <c r="I216" s="710"/>
      <c r="J216" s="321"/>
    </row>
    <row r="217" spans="1:10" s="238" customFormat="1">
      <c r="A217" s="241"/>
      <c r="C217" s="241"/>
      <c r="D217" s="703"/>
      <c r="G217" s="710"/>
      <c r="H217" s="321"/>
      <c r="I217" s="710"/>
      <c r="J217" s="321"/>
    </row>
    <row r="218" spans="1:10" s="238" customFormat="1">
      <c r="A218" s="241"/>
      <c r="C218" s="241"/>
      <c r="D218" s="703"/>
      <c r="G218" s="710"/>
      <c r="H218" s="321"/>
      <c r="I218" s="710"/>
      <c r="J218" s="321"/>
    </row>
    <row r="219" spans="1:10" s="238" customFormat="1">
      <c r="A219" s="241"/>
      <c r="C219" s="241"/>
      <c r="D219" s="703"/>
      <c r="G219" s="710"/>
      <c r="H219" s="321"/>
      <c r="I219" s="710"/>
      <c r="J219" s="321"/>
    </row>
    <row r="220" spans="1:10" s="238" customFormat="1">
      <c r="A220" s="241"/>
      <c r="C220" s="241"/>
      <c r="D220" s="703"/>
      <c r="G220" s="710"/>
      <c r="H220" s="321"/>
      <c r="I220" s="710"/>
      <c r="J220" s="321"/>
    </row>
    <row r="221" spans="1:10" s="238" customFormat="1">
      <c r="A221" s="241"/>
      <c r="C221" s="241"/>
      <c r="D221" s="703"/>
      <c r="G221" s="710"/>
      <c r="H221" s="321"/>
      <c r="I221" s="710"/>
      <c r="J221" s="321"/>
    </row>
    <row r="222" spans="1:10" s="238" customFormat="1">
      <c r="A222" s="241"/>
      <c r="C222" s="241"/>
      <c r="D222" s="703"/>
      <c r="G222" s="710"/>
      <c r="H222" s="321"/>
      <c r="I222" s="710"/>
      <c r="J222" s="321"/>
    </row>
    <row r="223" spans="1:10" s="238" customFormat="1">
      <c r="A223" s="241"/>
      <c r="C223" s="241"/>
      <c r="D223" s="703"/>
      <c r="G223" s="710"/>
      <c r="H223" s="321"/>
      <c r="I223" s="710"/>
      <c r="J223" s="321"/>
    </row>
    <row r="224" spans="1:10" s="238" customFormat="1">
      <c r="A224" s="241"/>
      <c r="C224" s="241"/>
      <c r="D224" s="703"/>
      <c r="G224" s="710"/>
      <c r="H224" s="321"/>
      <c r="I224" s="710"/>
      <c r="J224" s="321"/>
    </row>
    <row r="225" spans="1:10" s="238" customFormat="1">
      <c r="A225" s="241"/>
      <c r="C225" s="241"/>
      <c r="D225" s="703"/>
      <c r="G225" s="710"/>
      <c r="H225" s="321"/>
      <c r="I225" s="710"/>
      <c r="J225" s="321"/>
    </row>
    <row r="226" spans="1:10" s="238" customFormat="1">
      <c r="A226" s="241"/>
      <c r="C226" s="241"/>
      <c r="D226" s="703"/>
      <c r="G226" s="710"/>
      <c r="H226" s="321"/>
      <c r="I226" s="710"/>
      <c r="J226" s="321"/>
    </row>
    <row r="227" spans="1:10" s="238" customFormat="1">
      <c r="A227" s="241"/>
      <c r="C227" s="241"/>
      <c r="D227" s="703"/>
      <c r="G227" s="710"/>
      <c r="H227" s="321"/>
      <c r="I227" s="710"/>
      <c r="J227" s="321"/>
    </row>
    <row r="228" spans="1:10" s="238" customFormat="1">
      <c r="A228" s="241"/>
      <c r="C228" s="241"/>
      <c r="D228" s="703"/>
      <c r="G228" s="710"/>
      <c r="H228" s="321"/>
      <c r="I228" s="710"/>
      <c r="J228" s="321"/>
    </row>
    <row r="229" spans="1:10" s="238" customFormat="1">
      <c r="A229" s="241"/>
      <c r="C229" s="241"/>
      <c r="D229" s="703"/>
      <c r="G229" s="710"/>
      <c r="H229" s="321"/>
      <c r="I229" s="710"/>
      <c r="J229" s="321"/>
    </row>
    <row r="230" spans="1:10" s="238" customFormat="1">
      <c r="A230" s="241"/>
      <c r="C230" s="241"/>
      <c r="D230" s="703"/>
      <c r="G230" s="710"/>
      <c r="H230" s="321"/>
      <c r="I230" s="710"/>
      <c r="J230" s="321"/>
    </row>
    <row r="231" spans="1:10" s="238" customFormat="1">
      <c r="A231" s="241"/>
      <c r="C231" s="241"/>
      <c r="D231" s="703"/>
      <c r="G231" s="710"/>
      <c r="H231" s="321"/>
      <c r="I231" s="710"/>
      <c r="J231" s="321"/>
    </row>
    <row r="232" spans="1:10" s="238" customFormat="1">
      <c r="A232" s="241"/>
      <c r="C232" s="241"/>
      <c r="D232" s="703"/>
      <c r="G232" s="710"/>
      <c r="H232" s="321"/>
      <c r="I232" s="710"/>
      <c r="J232" s="321"/>
    </row>
    <row r="233" spans="1:10" s="238" customFormat="1">
      <c r="A233" s="241"/>
      <c r="C233" s="241"/>
      <c r="D233" s="703"/>
      <c r="G233" s="710"/>
      <c r="H233" s="321"/>
      <c r="I233" s="710"/>
      <c r="J233" s="321"/>
    </row>
    <row r="234" spans="1:10" s="238" customFormat="1">
      <c r="A234" s="241"/>
      <c r="C234" s="241"/>
      <c r="D234" s="703"/>
      <c r="G234" s="710"/>
      <c r="H234" s="321"/>
      <c r="I234" s="710"/>
      <c r="J234" s="321"/>
    </row>
    <row r="235" spans="1:10" s="238" customFormat="1">
      <c r="A235" s="241"/>
      <c r="C235" s="241"/>
      <c r="D235" s="703"/>
      <c r="G235" s="710"/>
      <c r="H235" s="321"/>
      <c r="I235" s="710"/>
      <c r="J235" s="321"/>
    </row>
    <row r="236" spans="1:10" s="238" customFormat="1">
      <c r="A236" s="241"/>
      <c r="C236" s="241"/>
      <c r="D236" s="703"/>
      <c r="G236" s="710"/>
      <c r="H236" s="321"/>
      <c r="I236" s="710"/>
      <c r="J236" s="321"/>
    </row>
    <row r="237" spans="1:10" s="238" customFormat="1">
      <c r="A237" s="241"/>
      <c r="C237" s="241"/>
      <c r="D237" s="703"/>
      <c r="G237" s="710"/>
      <c r="H237" s="321"/>
      <c r="I237" s="710"/>
      <c r="J237" s="321"/>
    </row>
    <row r="238" spans="1:10" s="238" customFormat="1">
      <c r="A238" s="241"/>
      <c r="C238" s="241"/>
      <c r="D238" s="703"/>
      <c r="G238" s="710"/>
      <c r="H238" s="321"/>
      <c r="I238" s="710"/>
      <c r="J238" s="321"/>
    </row>
    <row r="239" spans="1:10" s="238" customFormat="1">
      <c r="A239" s="241"/>
      <c r="C239" s="241"/>
      <c r="D239" s="703"/>
      <c r="G239" s="710"/>
      <c r="H239" s="321"/>
      <c r="I239" s="710"/>
      <c r="J239" s="321"/>
    </row>
    <row r="240" spans="1:10" s="238" customFormat="1">
      <c r="A240" s="241"/>
      <c r="C240" s="241"/>
      <c r="D240" s="703"/>
      <c r="G240" s="710"/>
      <c r="H240" s="321"/>
      <c r="I240" s="710"/>
      <c r="J240" s="321"/>
    </row>
    <row r="241" spans="1:10" s="238" customFormat="1">
      <c r="A241" s="241"/>
      <c r="C241" s="241"/>
      <c r="D241" s="703"/>
      <c r="G241" s="710"/>
      <c r="H241" s="321"/>
      <c r="I241" s="710"/>
      <c r="J241" s="321"/>
    </row>
    <row r="242" spans="1:10" s="238" customFormat="1">
      <c r="A242" s="241"/>
      <c r="C242" s="241"/>
      <c r="D242" s="703"/>
      <c r="G242" s="710"/>
      <c r="H242" s="321"/>
      <c r="I242" s="710"/>
      <c r="J242" s="321"/>
    </row>
    <row r="243" spans="1:10" s="238" customFormat="1">
      <c r="A243" s="241"/>
      <c r="C243" s="241"/>
      <c r="D243" s="703"/>
      <c r="G243" s="710"/>
      <c r="H243" s="321"/>
      <c r="I243" s="710"/>
      <c r="J243" s="321"/>
    </row>
    <row r="244" spans="1:10" s="238" customFormat="1">
      <c r="A244" s="241"/>
      <c r="C244" s="241"/>
      <c r="D244" s="703"/>
      <c r="G244" s="710"/>
      <c r="H244" s="321"/>
      <c r="I244" s="710"/>
      <c r="J244" s="321"/>
    </row>
    <row r="245" spans="1:10" s="238" customFormat="1">
      <c r="A245" s="241"/>
      <c r="C245" s="241"/>
      <c r="D245" s="703"/>
      <c r="G245" s="710"/>
      <c r="H245" s="321"/>
      <c r="I245" s="710"/>
      <c r="J245" s="321"/>
    </row>
    <row r="246" spans="1:10" s="238" customFormat="1">
      <c r="A246" s="241"/>
      <c r="C246" s="241"/>
      <c r="D246" s="703"/>
      <c r="G246" s="710"/>
      <c r="H246" s="321"/>
      <c r="I246" s="710"/>
      <c r="J246" s="321"/>
    </row>
    <row r="247" spans="1:10" s="238" customFormat="1">
      <c r="A247" s="241"/>
      <c r="C247" s="241"/>
      <c r="D247" s="703"/>
      <c r="G247" s="710"/>
      <c r="H247" s="321"/>
      <c r="I247" s="710"/>
      <c r="J247" s="321"/>
    </row>
    <row r="248" spans="1:10" s="238" customFormat="1">
      <c r="A248" s="241"/>
      <c r="C248" s="241"/>
      <c r="D248" s="703"/>
      <c r="G248" s="710"/>
      <c r="H248" s="321"/>
      <c r="I248" s="710"/>
      <c r="J248" s="321"/>
    </row>
    <row r="249" spans="1:10" s="238" customFormat="1">
      <c r="A249" s="241"/>
      <c r="C249" s="241"/>
      <c r="D249" s="703"/>
      <c r="G249" s="710"/>
      <c r="H249" s="321"/>
      <c r="I249" s="710"/>
      <c r="J249" s="321"/>
    </row>
    <row r="250" spans="1:10" s="238" customFormat="1">
      <c r="A250" s="241"/>
      <c r="C250" s="241"/>
      <c r="D250" s="703"/>
      <c r="G250" s="710"/>
      <c r="H250" s="321"/>
      <c r="I250" s="710"/>
      <c r="J250" s="321"/>
    </row>
    <row r="251" spans="1:10" s="238" customFormat="1">
      <c r="A251" s="241"/>
      <c r="C251" s="241"/>
      <c r="D251" s="703"/>
      <c r="G251" s="710"/>
      <c r="H251" s="321"/>
      <c r="I251" s="710"/>
      <c r="J251" s="321"/>
    </row>
    <row r="252" spans="1:10" s="238" customFormat="1">
      <c r="A252" s="241"/>
      <c r="C252" s="241"/>
      <c r="D252" s="703"/>
      <c r="G252" s="710"/>
      <c r="H252" s="321"/>
      <c r="I252" s="710"/>
      <c r="J252" s="321"/>
    </row>
    <row r="253" spans="1:10" s="238" customFormat="1">
      <c r="A253" s="241"/>
      <c r="C253" s="241"/>
      <c r="D253" s="703"/>
      <c r="G253" s="710"/>
      <c r="H253" s="321"/>
      <c r="I253" s="710"/>
      <c r="J253" s="321"/>
    </row>
    <row r="254" spans="1:10" s="238" customFormat="1">
      <c r="A254" s="241"/>
      <c r="C254" s="241"/>
      <c r="D254" s="703"/>
      <c r="G254" s="710"/>
      <c r="H254" s="321"/>
      <c r="I254" s="710"/>
      <c r="J254" s="321"/>
    </row>
    <row r="255" spans="1:10" s="238" customFormat="1">
      <c r="A255" s="241"/>
      <c r="C255" s="241"/>
      <c r="D255" s="703"/>
      <c r="G255" s="710"/>
      <c r="H255" s="321"/>
      <c r="I255" s="710"/>
      <c r="J255" s="321"/>
    </row>
    <row r="256" spans="1:10" s="238" customFormat="1">
      <c r="A256" s="241"/>
      <c r="C256" s="241"/>
      <c r="D256" s="703"/>
      <c r="G256" s="710"/>
      <c r="H256" s="321"/>
      <c r="I256" s="710"/>
      <c r="J256" s="321"/>
    </row>
    <row r="257" spans="1:10" s="238" customFormat="1">
      <c r="A257" s="241"/>
      <c r="C257" s="241"/>
      <c r="D257" s="703"/>
      <c r="G257" s="710"/>
      <c r="H257" s="321"/>
      <c r="I257" s="710"/>
      <c r="J257" s="321"/>
    </row>
    <row r="258" spans="1:10" s="238" customFormat="1">
      <c r="A258" s="241"/>
      <c r="C258" s="241"/>
      <c r="D258" s="703"/>
      <c r="G258" s="710"/>
      <c r="H258" s="321"/>
      <c r="I258" s="710"/>
      <c r="J258" s="321"/>
    </row>
    <row r="259" spans="1:10" s="238" customFormat="1">
      <c r="A259" s="241"/>
      <c r="C259" s="241"/>
      <c r="D259" s="703"/>
      <c r="G259" s="710"/>
      <c r="H259" s="321"/>
      <c r="I259" s="710"/>
      <c r="J259" s="321"/>
    </row>
    <row r="260" spans="1:10" s="238" customFormat="1">
      <c r="A260" s="241"/>
      <c r="C260" s="241"/>
      <c r="D260" s="703"/>
      <c r="G260" s="710"/>
      <c r="H260" s="321"/>
      <c r="I260" s="710"/>
      <c r="J260" s="321"/>
    </row>
    <row r="261" spans="1:10" s="238" customFormat="1">
      <c r="A261" s="241"/>
      <c r="C261" s="241"/>
      <c r="D261" s="703"/>
      <c r="G261" s="710"/>
      <c r="H261" s="321"/>
      <c r="I261" s="710"/>
      <c r="J261" s="321"/>
    </row>
    <row r="262" spans="1:10" s="238" customFormat="1">
      <c r="A262" s="241"/>
      <c r="C262" s="241"/>
      <c r="D262" s="703"/>
      <c r="G262" s="710"/>
      <c r="H262" s="321"/>
      <c r="I262" s="710"/>
      <c r="J262" s="321"/>
    </row>
    <row r="263" spans="1:10" s="238" customFormat="1">
      <c r="A263" s="241"/>
      <c r="C263" s="241"/>
      <c r="D263" s="703"/>
      <c r="G263" s="710"/>
      <c r="H263" s="321"/>
      <c r="I263" s="710"/>
      <c r="J263" s="321"/>
    </row>
    <row r="264" spans="1:10" s="238" customFormat="1">
      <c r="A264" s="241"/>
      <c r="C264" s="241"/>
      <c r="D264" s="703"/>
      <c r="G264" s="710"/>
      <c r="H264" s="321"/>
      <c r="I264" s="710"/>
      <c r="J264" s="321"/>
    </row>
    <row r="265" spans="1:10" s="238" customFormat="1">
      <c r="A265" s="241"/>
      <c r="C265" s="241"/>
      <c r="D265" s="703"/>
      <c r="G265" s="710"/>
      <c r="H265" s="321"/>
      <c r="I265" s="710"/>
      <c r="J265" s="321"/>
    </row>
    <row r="266" spans="1:10" s="238" customFormat="1">
      <c r="A266" s="241"/>
      <c r="C266" s="241"/>
      <c r="D266" s="703"/>
      <c r="G266" s="710"/>
      <c r="H266" s="321"/>
      <c r="I266" s="710"/>
      <c r="J266" s="321"/>
    </row>
    <row r="267" spans="1:10" s="238" customFormat="1">
      <c r="A267" s="241"/>
      <c r="C267" s="241"/>
      <c r="D267" s="703"/>
      <c r="G267" s="710"/>
      <c r="H267" s="321"/>
      <c r="I267" s="710"/>
      <c r="J267" s="321"/>
    </row>
    <row r="268" spans="1:10" s="238" customFormat="1">
      <c r="A268" s="241"/>
      <c r="C268" s="241"/>
      <c r="D268" s="703"/>
      <c r="G268" s="710"/>
      <c r="H268" s="321"/>
      <c r="I268" s="710"/>
      <c r="J268" s="321"/>
    </row>
    <row r="269" spans="1:10" s="238" customFormat="1">
      <c r="A269" s="241"/>
      <c r="C269" s="241"/>
      <c r="D269" s="703"/>
      <c r="G269" s="710"/>
      <c r="H269" s="321"/>
      <c r="I269" s="710"/>
      <c r="J269" s="321"/>
    </row>
    <row r="270" spans="1:10" s="238" customFormat="1">
      <c r="A270" s="241"/>
      <c r="C270" s="241"/>
      <c r="D270" s="703"/>
      <c r="G270" s="710"/>
      <c r="H270" s="321"/>
      <c r="I270" s="710"/>
      <c r="J270" s="321"/>
    </row>
    <row r="271" spans="1:10" s="238" customFormat="1">
      <c r="A271" s="241"/>
      <c r="C271" s="241"/>
      <c r="D271" s="703"/>
      <c r="G271" s="710"/>
      <c r="H271" s="321"/>
      <c r="I271" s="710"/>
      <c r="J271" s="321"/>
    </row>
  </sheetData>
  <sortState ref="B27:B42">
    <sortCondition ref="B27"/>
  </sortState>
  <customSheetViews>
    <customSheetView guid="{25C4E7E7-1006-4A2D-BC83-AEE4ADF8A914}" scale="70" colorId="22" showPageBreaks="1" fitToPage="1" printArea="1" hiddenRows="1" showRuler="0" topLeftCell="A31">
      <selection activeCell="A42" sqref="A42"/>
      <pageMargins left="0.75" right="0.5" top="0.75" bottom="0.5" header="0.5" footer="0.5"/>
      <pageSetup scale="49" orientation="portrait" r:id="rId1"/>
      <headerFooter alignWithMargins="0"/>
    </customSheetView>
    <customSheetView guid="{28F81D13-D146-4D67-8981-BA5D7A496326}" scale="75" colorId="22" showPageBreaks="1" fitToPage="1" printArea="1" showRuler="0" topLeftCell="C1">
      <selection activeCell="G77" sqref="A1:G77"/>
      <pageMargins left="0.5" right="0.5" top="0.5" bottom="0.5" header="0.5" footer="0.5"/>
      <pageSetup scale="61" orientation="portrait" r:id="rId2"/>
      <headerFooter alignWithMargins="0"/>
    </customSheetView>
    <customSheetView guid="{AEA5979F-5357-4ED6-A6CA-1BB80F5C7A74}" scale="75" colorId="22" showPageBreaks="1" fitToPage="1" printArea="1" showRuler="0" topLeftCell="A49">
      <selection activeCell="C83" sqref="C83"/>
      <pageMargins left="0.5" right="0.5" top="0.5" bottom="0.5" header="0.5" footer="0.5"/>
      <pageSetup scale="61" orientation="portrait" r:id="rId3"/>
      <headerFooter alignWithMargins="0"/>
    </customSheetView>
    <customSheetView guid="{EB776EFC-3589-4DB5-BEAF-1E83D9703F9E}" scale="75" colorId="22" fitToPage="1" hiddenColumns="1" showRuler="0" topLeftCell="A52">
      <selection activeCell="F56" sqref="F56"/>
      <pageMargins left="0.5" right="0.5" top="0.5" bottom="0.5" header="0.5" footer="0.5"/>
      <pageSetup scale="63" orientation="portrait" r:id="rId4"/>
      <headerFooter alignWithMargins="0"/>
    </customSheetView>
    <customSheetView guid="{FBB4BF8E-8A9F-4E98-A6F9-5F9BF4C55C67}" scale="75" colorId="22" showPageBreaks="1" fitToPage="1" printArea="1" hiddenColumns="1" showRuler="0" topLeftCell="B49">
      <selection activeCell="F54" sqref="F54"/>
      <pageMargins left="0.5" right="0.5" top="0.5" bottom="0.5" header="0.5" footer="0.5"/>
      <pageSetup scale="64" orientation="portrait" r:id="rId5"/>
      <headerFooter alignWithMargins="0"/>
    </customSheetView>
    <customSheetView guid="{6EF643BE-69F3-424E-8A44-3890161370D4}" scale="75" colorId="22" showPageBreaks="1" fitToPage="1" printArea="1" showRuler="0">
      <selection activeCell="E77" sqref="E77"/>
      <pageMargins left="0.5" right="0.5" top="0.5" bottom="0.5" header="0.5" footer="0.5"/>
      <pageSetup scale="67" orientation="portrait" r:id="rId6"/>
      <headerFooter alignWithMargins="0"/>
    </customSheetView>
    <customSheetView guid="{1ECE83C7-A3CE-4F97-BFD3-498FF783C0D9}" scale="70" colorId="22" showPageBreaks="1" fitToPage="1" printArea="1" showRuler="0" topLeftCell="A34">
      <selection activeCell="A60" sqref="A60"/>
      <pageMargins left="0.75" right="0.5" top="0.75" bottom="0.5" header="0.5" footer="0.5"/>
      <pageSetup scale="53" orientation="portrait" r:id="rId7"/>
      <headerFooter alignWithMargins="0"/>
    </customSheetView>
    <customSheetView guid="{560D4AFA-61E5-46C3-B0CD-D0EB3053A033}" scale="70" colorId="22" showPageBreaks="1" fitToPage="1" printArea="1" hiddenRows="1" showRuler="0">
      <selection activeCell="I23" sqref="I23"/>
      <pageMargins left="0.75" right="0.5" top="0.75" bottom="0.5" header="0.5" footer="0.5"/>
      <pageSetup scale="49" orientation="portrait" r:id="rId8"/>
      <headerFooter alignWithMargins="0"/>
    </customSheetView>
  </customSheetViews>
  <phoneticPr fontId="0" type="noConversion"/>
  <dataValidations disablePrompts="1" count="1">
    <dataValidation type="list" allowBlank="1" showInputMessage="1" showErrorMessage="1" sqref="G8 G76 G74 G61:G69 G55:G57 G45:G51 G28:G41 G20:G24 G13:G17">
      <formula1>$B$104:$B$106</formula1>
    </dataValidation>
  </dataValidations>
  <pageMargins left="0.75" right="0.5" top="0.75" bottom="0.5" header="0.5" footer="0.5"/>
  <pageSetup scale="67" firstPageNumber="207" fitToHeight="0" orientation="portrait" useFirstPageNumber="1" r:id="rId9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CC503"/>
  <sheetViews>
    <sheetView defaultGridColor="0" colorId="22" zoomScale="90" zoomScaleNormal="90" workbookViewId="0">
      <selection activeCell="A99" sqref="A99:XFD121"/>
    </sheetView>
  </sheetViews>
  <sheetFormatPr defaultColWidth="9.77734375" defaultRowHeight="15"/>
  <cols>
    <col min="1" max="1" width="3.33203125" style="241" customWidth="1"/>
    <col min="2" max="2" width="15.5546875" style="2" customWidth="1"/>
    <col min="3" max="3" width="9.6640625" style="2" customWidth="1"/>
    <col min="4" max="4" width="14.88671875" style="2" customWidth="1"/>
    <col min="5" max="5" width="18.21875" style="2" customWidth="1"/>
    <col min="6" max="6" width="15" style="2" customWidth="1"/>
    <col min="7" max="7" width="12.44140625" style="2" customWidth="1"/>
    <col min="8" max="8" width="12.77734375" style="2" customWidth="1"/>
    <col min="9" max="9" width="14.109375" style="2" customWidth="1"/>
    <col min="10" max="10" width="11.109375" style="2" customWidth="1"/>
    <col min="11" max="11" width="13.21875" style="2" customWidth="1"/>
    <col min="12" max="13" width="14.88671875" style="2" bestFit="1" customWidth="1"/>
    <col min="14" max="14" width="11.44140625" style="2" customWidth="1"/>
    <col min="15" max="15" width="14.44140625" style="2" customWidth="1"/>
    <col min="16" max="16" width="15" style="2" customWidth="1"/>
    <col min="17" max="17" width="5.77734375" style="241" customWidth="1"/>
    <col min="18" max="18" width="9.77734375" style="241" customWidth="1"/>
    <col min="19" max="81" width="9.77734375" style="241"/>
    <col min="82" max="16384" width="9.77734375" style="2"/>
  </cols>
  <sheetData>
    <row r="1" spans="2:12" s="241" customFormat="1" ht="15.75" customHeight="1"/>
    <row r="2" spans="2:12" s="241" customFormat="1" ht="15.75">
      <c r="B2" s="1101" t="str">
        <f>'Sources and Uses'!B1</f>
        <v>Project Site: Insert Site Name</v>
      </c>
      <c r="C2" s="1101"/>
      <c r="D2" s="276" t="s">
        <v>70</v>
      </c>
      <c r="E2" s="277">
        <f>D16</f>
        <v>0</v>
      </c>
    </row>
    <row r="3" spans="2:12" s="241" customFormat="1" ht="15.75">
      <c r="B3" s="1101" t="str">
        <f>'Sources and Uses'!B2</f>
        <v>Development Team: Insert Team Name</v>
      </c>
      <c r="C3" s="1101"/>
      <c r="D3" s="237"/>
      <c r="E3" s="248"/>
      <c r="K3" s="237"/>
      <c r="L3" s="277"/>
    </row>
    <row r="4" spans="2:12" s="241" customFormat="1" ht="15.75">
      <c r="B4" s="998"/>
      <c r="C4" s="998"/>
      <c r="D4" s="237"/>
      <c r="E4" s="248"/>
      <c r="K4" s="237"/>
      <c r="L4" s="277"/>
    </row>
    <row r="5" spans="2:12" s="241" customFormat="1" ht="15.75">
      <c r="B5" s="503" t="s">
        <v>349</v>
      </c>
      <c r="C5" s="237"/>
      <c r="D5" s="237"/>
      <c r="E5" s="248"/>
      <c r="I5" s="303" t="s">
        <v>396</v>
      </c>
      <c r="K5" s="237"/>
      <c r="L5" s="277"/>
    </row>
    <row r="6" spans="2:12" s="241" customFormat="1" ht="15.75">
      <c r="B6" s="242"/>
      <c r="C6" s="237"/>
      <c r="D6" s="237"/>
      <c r="E6" s="248"/>
      <c r="I6" s="279" t="s">
        <v>397</v>
      </c>
      <c r="J6" s="279" t="s">
        <v>398</v>
      </c>
      <c r="K6" s="237"/>
      <c r="L6" s="277"/>
    </row>
    <row r="7" spans="2:12" s="241" customFormat="1" ht="15.75">
      <c r="B7" s="377" t="s">
        <v>323</v>
      </c>
      <c r="C7" s="378"/>
      <c r="D7" s="379"/>
      <c r="E7" s="380"/>
      <c r="F7" s="381"/>
      <c r="G7" s="382"/>
      <c r="I7" s="975">
        <f>D46</f>
        <v>0</v>
      </c>
      <c r="J7" s="976">
        <f>SUM(E45:E49)</f>
        <v>0</v>
      </c>
      <c r="K7" s="971" t="e">
        <f>J7/$J$12</f>
        <v>#DIV/0!</v>
      </c>
      <c r="L7" s="277"/>
    </row>
    <row r="8" spans="2:12" s="241" customFormat="1" ht="15.75">
      <c r="B8" s="383"/>
      <c r="C8" s="354"/>
      <c r="D8" s="355" t="s">
        <v>0</v>
      </c>
      <c r="E8" s="355" t="s">
        <v>17</v>
      </c>
      <c r="F8" s="355" t="s">
        <v>44</v>
      </c>
      <c r="G8" s="384" t="s">
        <v>275</v>
      </c>
      <c r="I8" s="977">
        <f>D52</f>
        <v>0</v>
      </c>
      <c r="J8" s="978">
        <f>SUM(E51:E55)</f>
        <v>0</v>
      </c>
      <c r="K8" s="971" t="e">
        <f>J8/$J$12</f>
        <v>#DIV/0!</v>
      </c>
      <c r="L8" s="277"/>
    </row>
    <row r="9" spans="2:12" s="241" customFormat="1" ht="15.75">
      <c r="B9" s="385" t="s">
        <v>16</v>
      </c>
      <c r="C9" s="356"/>
      <c r="D9" s="368">
        <f>E45+E51+E57+E63+E69</f>
        <v>0</v>
      </c>
      <c r="E9" s="357">
        <v>2</v>
      </c>
      <c r="F9" s="357">
        <f>E9*D9</f>
        <v>0</v>
      </c>
      <c r="G9" s="386"/>
      <c r="I9" s="977">
        <f>D58</f>
        <v>0</v>
      </c>
      <c r="J9" s="978">
        <f>SUM(E57:E61)</f>
        <v>0</v>
      </c>
      <c r="K9" s="971" t="e">
        <f>J9/$J$12</f>
        <v>#DIV/0!</v>
      </c>
      <c r="L9" s="277"/>
    </row>
    <row r="10" spans="2:12" s="241" customFormat="1" ht="15.75">
      <c r="B10" s="385" t="s">
        <v>79</v>
      </c>
      <c r="C10" s="356"/>
      <c r="D10" s="368">
        <f t="shared" ref="D10:D13" si="0">E46+E52+E58+E64+E70</f>
        <v>0</v>
      </c>
      <c r="E10" s="357">
        <v>3</v>
      </c>
      <c r="F10" s="357">
        <f>D10*E10</f>
        <v>0</v>
      </c>
      <c r="G10" s="387"/>
      <c r="I10" s="977">
        <f>D63</f>
        <v>0</v>
      </c>
      <c r="J10" s="978">
        <f>SUM(E63:E67)</f>
        <v>0</v>
      </c>
      <c r="K10" s="971" t="e">
        <f>J10/$J$12</f>
        <v>#DIV/0!</v>
      </c>
      <c r="L10" s="277"/>
    </row>
    <row r="11" spans="2:12" s="241" customFormat="1" ht="15.75">
      <c r="B11" s="385" t="s">
        <v>80</v>
      </c>
      <c r="C11" s="356"/>
      <c r="D11" s="368">
        <f t="shared" si="0"/>
        <v>0</v>
      </c>
      <c r="E11" s="357">
        <v>4</v>
      </c>
      <c r="F11" s="358">
        <f>D11*E11</f>
        <v>0</v>
      </c>
      <c r="G11" s="387"/>
      <c r="I11" s="979">
        <f>D70</f>
        <v>0</v>
      </c>
      <c r="J11" s="980">
        <f>SUM(E69:E73)</f>
        <v>0</v>
      </c>
      <c r="K11" s="971" t="e">
        <f>J11/$J$12</f>
        <v>#DIV/0!</v>
      </c>
      <c r="L11" s="277"/>
    </row>
    <row r="12" spans="2:12" s="241" customFormat="1" ht="15.75">
      <c r="B12" s="385" t="s">
        <v>81</v>
      </c>
      <c r="C12" s="356"/>
      <c r="D12" s="368">
        <f t="shared" si="0"/>
        <v>0</v>
      </c>
      <c r="E12" s="357">
        <v>5</v>
      </c>
      <c r="F12" s="358">
        <f>E12*D12</f>
        <v>0</v>
      </c>
      <c r="G12" s="387"/>
      <c r="I12" s="981" t="s">
        <v>1</v>
      </c>
      <c r="J12" s="982">
        <f>SUM(J7:J11)</f>
        <v>0</v>
      </c>
      <c r="K12" s="237"/>
      <c r="L12" s="277"/>
    </row>
    <row r="13" spans="2:12" s="241" customFormat="1" ht="15.75">
      <c r="B13" s="385" t="s">
        <v>192</v>
      </c>
      <c r="C13" s="356"/>
      <c r="D13" s="368">
        <f t="shared" si="0"/>
        <v>0</v>
      </c>
      <c r="E13" s="357">
        <v>0</v>
      </c>
      <c r="F13" s="358">
        <f>E13*D13</f>
        <v>0</v>
      </c>
      <c r="G13" s="387"/>
      <c r="K13" s="237"/>
      <c r="L13" s="277"/>
    </row>
    <row r="14" spans="2:12" s="241" customFormat="1" ht="15.75">
      <c r="B14" s="388" t="s">
        <v>12</v>
      </c>
      <c r="C14" s="359"/>
      <c r="D14" s="360">
        <f>SUM(D9:D13)</f>
        <v>0</v>
      </c>
      <c r="E14" s="360"/>
      <c r="F14" s="360">
        <f>SUM(F9:F12)</f>
        <v>0</v>
      </c>
      <c r="G14" s="389"/>
      <c r="K14" s="237"/>
      <c r="L14" s="277"/>
    </row>
    <row r="15" spans="2:12" s="241" customFormat="1" ht="15.75">
      <c r="B15" s="385" t="s">
        <v>21</v>
      </c>
      <c r="C15" s="356"/>
      <c r="D15" s="344"/>
      <c r="E15" s="344"/>
      <c r="F15" s="361">
        <f>E15*D15</f>
        <v>0</v>
      </c>
      <c r="G15" s="386"/>
      <c r="K15" s="237"/>
      <c r="L15" s="277"/>
    </row>
    <row r="16" spans="2:12" s="241" customFormat="1" ht="15.75">
      <c r="B16" s="390" t="s">
        <v>1</v>
      </c>
      <c r="C16" s="391"/>
      <c r="D16" s="392">
        <f>D15+D14</f>
        <v>0</v>
      </c>
      <c r="E16" s="393"/>
      <c r="F16" s="392">
        <f>SUM(F14:F15)</f>
        <v>0</v>
      </c>
      <c r="G16" s="394">
        <f>D9*G9+D10*G10+D11*G11+D12*G12+D13*G13+D15*G15</f>
        <v>0</v>
      </c>
      <c r="K16" s="237"/>
      <c r="L16" s="277"/>
    </row>
    <row r="17" spans="2:17" s="241" customFormat="1" ht="15.75">
      <c r="B17" s="242"/>
      <c r="C17" s="237"/>
      <c r="D17" s="237"/>
      <c r="E17" s="248"/>
      <c r="K17" s="237"/>
      <c r="L17" s="277"/>
    </row>
    <row r="18" spans="2:17" ht="15.75">
      <c r="B18" s="377" t="s">
        <v>322</v>
      </c>
      <c r="C18" s="378"/>
      <c r="D18" s="379" t="s">
        <v>89</v>
      </c>
      <c r="E18" s="395"/>
      <c r="F18" s="396" t="s">
        <v>87</v>
      </c>
      <c r="G18" s="397" t="s">
        <v>88</v>
      </c>
      <c r="H18" s="241"/>
      <c r="I18" s="241"/>
      <c r="J18" s="241"/>
      <c r="K18" s="241"/>
      <c r="L18" s="241"/>
      <c r="M18" s="241"/>
      <c r="N18" s="241"/>
      <c r="O18" s="241"/>
      <c r="P18" s="241"/>
    </row>
    <row r="19" spans="2:17" ht="15.75">
      <c r="B19" s="860"/>
      <c r="C19" s="861"/>
      <c r="D19" s="862"/>
      <c r="E19" s="863"/>
      <c r="F19" s="864"/>
      <c r="G19" s="865"/>
      <c r="H19" s="241"/>
      <c r="I19" s="241"/>
      <c r="J19" s="241"/>
      <c r="K19" s="241"/>
      <c r="L19" s="241"/>
      <c r="M19" s="241"/>
      <c r="N19" s="241"/>
      <c r="O19" s="241"/>
      <c r="P19" s="241"/>
    </row>
    <row r="20" spans="2:17" ht="17.25" customHeight="1">
      <c r="B20" s="398" t="e">
        <f>D20/$D$24</f>
        <v>#DIV/0!</v>
      </c>
      <c r="C20" s="343"/>
      <c r="D20" s="344"/>
      <c r="E20" s="345" t="s">
        <v>83</v>
      </c>
      <c r="F20" s="346">
        <v>1</v>
      </c>
      <c r="G20" s="399">
        <f>F20*D20</f>
        <v>0</v>
      </c>
      <c r="H20" s="241"/>
      <c r="I20" s="241"/>
      <c r="J20" s="241"/>
      <c r="K20" s="241"/>
      <c r="L20" s="241"/>
      <c r="M20" s="241"/>
      <c r="N20" s="241"/>
      <c r="O20" s="241"/>
      <c r="P20" s="241"/>
    </row>
    <row r="21" spans="2:17" ht="15" customHeight="1">
      <c r="B21" s="398" t="e">
        <f>D21/$D$24</f>
        <v>#DIV/0!</v>
      </c>
      <c r="C21" s="343"/>
      <c r="D21" s="347"/>
      <c r="E21" s="345" t="s">
        <v>84</v>
      </c>
      <c r="F21" s="346">
        <v>1</v>
      </c>
      <c r="G21" s="399">
        <f>F21*D21</f>
        <v>0</v>
      </c>
      <c r="H21" s="241"/>
      <c r="I21" s="241"/>
      <c r="J21" s="241"/>
      <c r="K21" s="241"/>
      <c r="L21" s="241"/>
      <c r="M21" s="241"/>
      <c r="N21" s="241"/>
      <c r="O21" s="241"/>
      <c r="P21" s="241"/>
    </row>
    <row r="22" spans="2:17">
      <c r="B22" s="398" t="e">
        <f>D22/$D$24</f>
        <v>#DIV/0!</v>
      </c>
      <c r="C22" s="343"/>
      <c r="D22" s="344"/>
      <c r="E22" s="345" t="s">
        <v>85</v>
      </c>
      <c r="F22" s="346">
        <v>1</v>
      </c>
      <c r="G22" s="399">
        <f>F22*D22</f>
        <v>0</v>
      </c>
      <c r="H22" s="241"/>
      <c r="I22" s="241"/>
      <c r="J22" s="241"/>
      <c r="K22" s="241"/>
      <c r="L22" s="241"/>
      <c r="M22" s="241"/>
      <c r="N22" s="241"/>
      <c r="O22" s="241"/>
      <c r="P22" s="241"/>
    </row>
    <row r="23" spans="2:17">
      <c r="B23" s="398" t="e">
        <f>D23/$D$24</f>
        <v>#DIV/0!</v>
      </c>
      <c r="C23" s="343"/>
      <c r="D23" s="344"/>
      <c r="E23" s="345" t="s">
        <v>86</v>
      </c>
      <c r="F23" s="346">
        <v>0</v>
      </c>
      <c r="G23" s="399">
        <f>F23*D23</f>
        <v>0</v>
      </c>
      <c r="H23" s="241"/>
      <c r="I23" s="241"/>
      <c r="J23" s="241"/>
      <c r="K23" s="241"/>
      <c r="L23" s="241"/>
      <c r="M23" s="241"/>
      <c r="N23" s="241"/>
      <c r="O23" s="241"/>
      <c r="P23" s="241"/>
    </row>
    <row r="24" spans="2:17" ht="15.75">
      <c r="B24" s="400"/>
      <c r="C24" s="348"/>
      <c r="D24" s="349">
        <f>SUM(D20:D23)</f>
        <v>0</v>
      </c>
      <c r="E24" s="350" t="s">
        <v>90</v>
      </c>
      <c r="F24" s="351"/>
      <c r="G24" s="401">
        <f>SUM(G20:G23)</f>
        <v>0</v>
      </c>
      <c r="H24" s="241"/>
      <c r="I24" s="241"/>
      <c r="J24" s="241"/>
      <c r="K24" s="241"/>
      <c r="L24" s="241"/>
      <c r="M24" s="241"/>
      <c r="N24" s="241"/>
      <c r="O24" s="241"/>
      <c r="P24" s="241"/>
    </row>
    <row r="25" spans="2:17" ht="15.75">
      <c r="B25" s="402"/>
      <c r="C25" s="340"/>
      <c r="D25" s="341"/>
      <c r="E25" s="352"/>
      <c r="F25" s="353"/>
      <c r="G25" s="403"/>
      <c r="H25" s="241"/>
      <c r="I25" s="241"/>
      <c r="J25" s="241"/>
      <c r="K25" s="241"/>
      <c r="L25" s="241"/>
      <c r="M25" s="241"/>
      <c r="N25" s="241"/>
      <c r="O25" s="241"/>
      <c r="P25" s="241"/>
    </row>
    <row r="26" spans="2:17" ht="15.75">
      <c r="B26" s="855" t="s">
        <v>313</v>
      </c>
      <c r="C26" s="856"/>
      <c r="D26" s="857"/>
      <c r="E26" s="858"/>
      <c r="F26" s="407"/>
      <c r="G26" s="859"/>
      <c r="H26" s="241"/>
      <c r="I26" s="241"/>
      <c r="J26" s="241"/>
      <c r="K26" s="241"/>
      <c r="L26" s="241"/>
      <c r="M26" s="241"/>
      <c r="N26" s="241"/>
      <c r="O26" s="241"/>
      <c r="P26" s="241"/>
    </row>
    <row r="27" spans="2:17">
      <c r="B27" s="241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</row>
    <row r="28" spans="2:17" ht="15.75">
      <c r="B28" s="433" t="s">
        <v>69</v>
      </c>
      <c r="C28" s="434"/>
      <c r="D28" s="434"/>
      <c r="E28" s="434"/>
      <c r="F28" s="435"/>
      <c r="G28" s="436"/>
      <c r="H28" s="248"/>
      <c r="I28" s="333"/>
      <c r="J28" s="333"/>
      <c r="K28" s="363"/>
      <c r="L28" s="364"/>
      <c r="M28" s="363"/>
      <c r="N28" s="279"/>
      <c r="O28" s="279"/>
      <c r="P28" s="279"/>
      <c r="Q28" s="282"/>
    </row>
    <row r="29" spans="2:17" ht="15.75">
      <c r="B29" s="437"/>
      <c r="C29" s="356" t="s">
        <v>2</v>
      </c>
      <c r="D29" s="424" t="s">
        <v>3</v>
      </c>
      <c r="E29" s="352"/>
      <c r="F29" s="424" t="s">
        <v>4</v>
      </c>
      <c r="G29" s="438"/>
      <c r="H29" s="289"/>
      <c r="I29" s="333"/>
      <c r="J29" s="333"/>
      <c r="K29" s="363"/>
      <c r="L29" s="364"/>
      <c r="M29" s="363"/>
      <c r="N29" s="279"/>
      <c r="O29" s="279"/>
      <c r="P29" s="279"/>
      <c r="Q29" s="282"/>
    </row>
    <row r="30" spans="2:17" ht="15.75">
      <c r="B30" s="409" t="s">
        <v>38</v>
      </c>
      <c r="C30" s="344">
        <v>0</v>
      </c>
      <c r="D30" s="374">
        <v>0</v>
      </c>
      <c r="E30" s="352"/>
      <c r="F30" s="376">
        <f>C30*D30*12</f>
        <v>0</v>
      </c>
      <c r="G30" s="439"/>
      <c r="H30" s="241"/>
      <c r="I30" s="333"/>
      <c r="J30" s="333"/>
      <c r="K30" s="363"/>
      <c r="L30" s="364"/>
      <c r="M30" s="363"/>
      <c r="N30" s="279"/>
      <c r="O30" s="279"/>
      <c r="P30" s="279"/>
      <c r="Q30" s="282"/>
    </row>
    <row r="31" spans="2:17" ht="15.75">
      <c r="B31" s="385"/>
      <c r="C31" s="425"/>
      <c r="D31" s="426"/>
      <c r="E31" s="352"/>
      <c r="F31" s="427"/>
      <c r="G31" s="439"/>
      <c r="H31" s="241"/>
      <c r="I31" s="333"/>
      <c r="J31" s="333"/>
      <c r="K31" s="363"/>
      <c r="L31" s="364"/>
      <c r="M31" s="363"/>
      <c r="N31" s="279"/>
      <c r="O31" s="279"/>
      <c r="P31" s="279"/>
      <c r="Q31" s="282"/>
    </row>
    <row r="32" spans="2:17" ht="15.75">
      <c r="B32" s="440"/>
      <c r="C32" s="428" t="s">
        <v>5</v>
      </c>
      <c r="D32" s="429" t="s">
        <v>325</v>
      </c>
      <c r="E32" s="352"/>
      <c r="F32" s="424"/>
      <c r="G32" s="438"/>
      <c r="H32" s="289"/>
      <c r="I32" s="333"/>
      <c r="J32" s="333"/>
      <c r="K32" s="363"/>
      <c r="L32" s="364"/>
      <c r="M32" s="363"/>
      <c r="N32" s="279"/>
      <c r="O32" s="279"/>
      <c r="P32" s="279"/>
      <c r="Q32" s="282"/>
    </row>
    <row r="33" spans="2:20" ht="15.75">
      <c r="B33" s="410" t="s">
        <v>25</v>
      </c>
      <c r="C33" s="368">
        <f>D21</f>
        <v>0</v>
      </c>
      <c r="D33" s="373">
        <v>0</v>
      </c>
      <c r="E33" s="352"/>
      <c r="F33" s="376">
        <f>D33*C33</f>
        <v>0</v>
      </c>
      <c r="G33" s="439"/>
      <c r="H33" s="241"/>
      <c r="I33" s="333"/>
      <c r="J33" s="333"/>
      <c r="K33" s="363"/>
      <c r="L33" s="364"/>
      <c r="M33" s="363"/>
      <c r="N33" s="279"/>
      <c r="O33" s="279"/>
      <c r="P33" s="279"/>
      <c r="Q33" s="282"/>
    </row>
    <row r="34" spans="2:20" ht="15.75">
      <c r="B34" s="411"/>
      <c r="C34" s="368"/>
      <c r="D34" s="375"/>
      <c r="E34" s="260"/>
      <c r="F34" s="376"/>
      <c r="G34" s="439"/>
      <c r="H34" s="241"/>
      <c r="I34" s="333"/>
      <c r="J34" s="333"/>
      <c r="K34" s="363"/>
      <c r="L34" s="364"/>
      <c r="M34" s="363"/>
      <c r="N34" s="279"/>
      <c r="O34" s="279"/>
      <c r="P34" s="279"/>
      <c r="Q34" s="282"/>
    </row>
    <row r="35" spans="2:20" ht="15.75">
      <c r="B35" s="409" t="s">
        <v>324</v>
      </c>
      <c r="C35" s="368">
        <f>D22</f>
        <v>0</v>
      </c>
      <c r="D35" s="372">
        <v>0</v>
      </c>
      <c r="E35" s="352"/>
      <c r="F35" s="376">
        <f>D35*C35</f>
        <v>0</v>
      </c>
      <c r="G35" s="439"/>
      <c r="H35" s="241"/>
      <c r="I35" s="333"/>
      <c r="J35" s="333"/>
      <c r="K35" s="363"/>
      <c r="L35" s="364"/>
      <c r="M35" s="363"/>
      <c r="N35" s="279"/>
      <c r="O35" s="279"/>
      <c r="P35" s="279"/>
      <c r="Q35" s="282"/>
    </row>
    <row r="36" spans="2:20" ht="15.75">
      <c r="B36" s="441"/>
      <c r="C36" s="366"/>
      <c r="D36" s="366"/>
      <c r="E36" s="352"/>
      <c r="F36" s="366"/>
      <c r="G36" s="439"/>
      <c r="H36" s="241"/>
      <c r="I36" s="333"/>
      <c r="J36" s="333"/>
      <c r="K36" s="363"/>
      <c r="L36" s="364"/>
      <c r="M36" s="363"/>
      <c r="N36" s="279"/>
      <c r="O36" s="279"/>
      <c r="P36" s="279"/>
      <c r="Q36" s="282"/>
    </row>
    <row r="37" spans="2:20" ht="15.75">
      <c r="B37" s="437"/>
      <c r="C37" s="424" t="s">
        <v>6</v>
      </c>
      <c r="D37" s="430" t="s">
        <v>326</v>
      </c>
      <c r="E37" s="352"/>
      <c r="F37" s="424"/>
      <c r="G37" s="438"/>
      <c r="H37" s="289"/>
      <c r="I37" s="333"/>
      <c r="J37" s="333"/>
      <c r="K37" s="363"/>
      <c r="L37" s="364"/>
      <c r="M37" s="363"/>
      <c r="N37" s="279"/>
      <c r="O37" s="279"/>
      <c r="P37" s="279"/>
      <c r="Q37" s="282"/>
    </row>
    <row r="38" spans="2:20" ht="15.75">
      <c r="B38" s="410" t="s">
        <v>7</v>
      </c>
      <c r="C38" s="344">
        <f>+D16</f>
        <v>0</v>
      </c>
      <c r="D38" s="365">
        <v>0</v>
      </c>
      <c r="E38" s="352"/>
      <c r="F38" s="376">
        <f>D38*C38</f>
        <v>0</v>
      </c>
      <c r="G38" s="439"/>
      <c r="H38" s="241"/>
      <c r="I38" s="333"/>
      <c r="J38" s="333"/>
      <c r="K38" s="363"/>
      <c r="L38" s="364"/>
      <c r="M38" s="363"/>
      <c r="N38" s="279"/>
      <c r="O38" s="279"/>
      <c r="P38" s="279"/>
      <c r="Q38" s="282"/>
    </row>
    <row r="39" spans="2:20" ht="15.75">
      <c r="B39" s="385"/>
      <c r="C39" s="367"/>
      <c r="D39" s="431"/>
      <c r="E39" s="352"/>
      <c r="F39" s="427"/>
      <c r="G39" s="439"/>
      <c r="H39" s="241"/>
      <c r="I39" s="333"/>
      <c r="J39" s="333"/>
      <c r="K39" s="363"/>
      <c r="L39" s="364"/>
      <c r="M39" s="363"/>
      <c r="N39" s="279"/>
      <c r="O39" s="279"/>
      <c r="P39" s="279"/>
      <c r="Q39" s="282"/>
    </row>
    <row r="40" spans="2:20" ht="15.75">
      <c r="B40" s="441"/>
      <c r="C40" s="342"/>
      <c r="D40" s="354"/>
      <c r="E40" s="359" t="s">
        <v>45</v>
      </c>
      <c r="F40" s="432">
        <f>F30+F33+F35+F38</f>
        <v>0</v>
      </c>
      <c r="G40" s="442" t="e">
        <f>F40/I78</f>
        <v>#DIV/0!</v>
      </c>
      <c r="H40" s="332" t="s">
        <v>266</v>
      </c>
      <c r="I40" s="333"/>
      <c r="J40" s="276"/>
      <c r="K40" s="363"/>
      <c r="L40" s="364"/>
      <c r="M40" s="363"/>
      <c r="N40" s="279"/>
      <c r="O40" s="279"/>
      <c r="P40" s="279"/>
      <c r="Q40" s="282"/>
    </row>
    <row r="41" spans="2:20" ht="15.75">
      <c r="B41" s="443"/>
      <c r="C41" s="444"/>
      <c r="D41" s="444"/>
      <c r="E41" s="444"/>
      <c r="F41" s="445"/>
      <c r="G41" s="446"/>
      <c r="H41" s="333"/>
      <c r="I41" s="333"/>
      <c r="J41" s="333"/>
      <c r="K41" s="363"/>
      <c r="L41" s="364"/>
      <c r="M41" s="363"/>
      <c r="N41" s="279"/>
      <c r="O41" s="279"/>
      <c r="P41" s="279"/>
      <c r="Q41" s="282"/>
    </row>
    <row r="42" spans="2:20" s="241" customFormat="1" ht="24" customHeight="1">
      <c r="F42" s="278"/>
      <c r="G42" s="278"/>
      <c r="H42" s="278"/>
      <c r="I42" s="248"/>
      <c r="J42" s="248"/>
      <c r="K42" s="248"/>
      <c r="R42" s="280"/>
      <c r="S42" s="281"/>
    </row>
    <row r="43" spans="2:20" ht="15.75">
      <c r="B43" s="894" t="s">
        <v>208</v>
      </c>
      <c r="C43" s="895"/>
      <c r="D43" s="895"/>
      <c r="E43" s="895"/>
      <c r="F43" s="896"/>
      <c r="G43" s="896"/>
      <c r="H43" s="896"/>
      <c r="I43" s="897"/>
      <c r="J43" s="248"/>
      <c r="K43" s="248"/>
      <c r="L43" s="248"/>
      <c r="M43" s="248"/>
      <c r="N43" s="248"/>
      <c r="O43" s="241"/>
      <c r="P43" s="241"/>
      <c r="Q43" s="283"/>
      <c r="T43" s="284"/>
    </row>
    <row r="44" spans="2:20" ht="31.5">
      <c r="B44" s="893" t="s">
        <v>78</v>
      </c>
      <c r="C44" s="889" t="s">
        <v>19</v>
      </c>
      <c r="D44" s="890" t="s">
        <v>389</v>
      </c>
      <c r="E44" s="891" t="s">
        <v>193</v>
      </c>
      <c r="F44" s="890" t="s">
        <v>114</v>
      </c>
      <c r="G44" s="891" t="s">
        <v>194</v>
      </c>
      <c r="H44" s="891" t="s">
        <v>195</v>
      </c>
      <c r="I44" s="892" t="s">
        <v>77</v>
      </c>
      <c r="J44" s="241"/>
      <c r="K44" s="241"/>
      <c r="L44" s="241"/>
      <c r="M44" s="241"/>
      <c r="N44" s="241"/>
      <c r="O44" s="241"/>
      <c r="P44" s="241"/>
      <c r="R44" s="285"/>
    </row>
    <row r="45" spans="2:20">
      <c r="B45" s="412" t="s">
        <v>16</v>
      </c>
      <c r="C45" s="366">
        <f>IF(B45="Studio",2, IF(B45="1BR",3, IF(B45="2BR",4, IF(B45="3BR",5, IF(B45="4BR",6)))))</f>
        <v>2</v>
      </c>
      <c r="D45" s="347"/>
      <c r="E45" s="369"/>
      <c r="F45" s="370">
        <v>0</v>
      </c>
      <c r="G45" s="371">
        <v>0</v>
      </c>
      <c r="H45" s="431">
        <f>F45-G45</f>
        <v>0</v>
      </c>
      <c r="I45" s="875">
        <f>H45*E45*12</f>
        <v>0</v>
      </c>
      <c r="J45" s="241"/>
      <c r="K45" s="241"/>
      <c r="L45" s="241"/>
      <c r="M45" s="241"/>
      <c r="N45" s="241"/>
      <c r="O45" s="241"/>
      <c r="P45" s="241"/>
      <c r="R45" s="285"/>
    </row>
    <row r="46" spans="2:20">
      <c r="B46" s="413" t="s">
        <v>188</v>
      </c>
      <c r="C46" s="366">
        <f>IF(B46="Studio",2, IF(B46="1BR",3, IF(B46="2BR",4, IF(B46="3BR",5, IF(B46="4BR",6)))))</f>
        <v>3</v>
      </c>
      <c r="D46" s="344"/>
      <c r="E46" s="344"/>
      <c r="F46" s="362">
        <v>0</v>
      </c>
      <c r="G46" s="365">
        <v>0</v>
      </c>
      <c r="H46" s="431">
        <f>F46-G46</f>
        <v>0</v>
      </c>
      <c r="I46" s="875">
        <f>H46*E46*12</f>
        <v>0</v>
      </c>
      <c r="J46" s="241"/>
      <c r="K46" s="241"/>
      <c r="L46" s="241"/>
      <c r="M46" s="241"/>
      <c r="N46" s="241"/>
      <c r="O46" s="241"/>
      <c r="P46" s="241"/>
      <c r="R46" s="285"/>
    </row>
    <row r="47" spans="2:20">
      <c r="B47" s="413" t="s">
        <v>189</v>
      </c>
      <c r="C47" s="366">
        <f>IF(B47="Studio",2, IF(B47="1BR",3, IF(B47="2BR",4, IF(B47="3BR",5, IF(B47="4BR",6)))))</f>
        <v>4</v>
      </c>
      <c r="D47" s="344"/>
      <c r="E47" s="344"/>
      <c r="F47" s="362">
        <v>0</v>
      </c>
      <c r="G47" s="365">
        <v>0</v>
      </c>
      <c r="H47" s="431">
        <f t="shared" ref="H47:H48" si="1">F47-G47</f>
        <v>0</v>
      </c>
      <c r="I47" s="875">
        <f>H47*E47*12</f>
        <v>0</v>
      </c>
      <c r="J47" s="241"/>
      <c r="K47" s="241"/>
      <c r="L47" s="241"/>
      <c r="M47" s="241"/>
      <c r="N47" s="241"/>
      <c r="O47" s="241"/>
      <c r="P47" s="241"/>
      <c r="R47" s="285"/>
    </row>
    <row r="48" spans="2:20">
      <c r="B48" s="413" t="s">
        <v>190</v>
      </c>
      <c r="C48" s="366">
        <f>IF(B48="Studio",2, IF(B48="1BR",3, IF(B48="2BR",4, IF(B48="3BR",5, IF(B48="4BR",6)))))</f>
        <v>5</v>
      </c>
      <c r="D48" s="344"/>
      <c r="E48" s="344"/>
      <c r="F48" s="362">
        <v>0</v>
      </c>
      <c r="G48" s="365">
        <v>0</v>
      </c>
      <c r="H48" s="431">
        <f t="shared" si="1"/>
        <v>0</v>
      </c>
      <c r="I48" s="875">
        <f>H48*E48*12</f>
        <v>0</v>
      </c>
      <c r="J48" s="241"/>
      <c r="K48" s="241"/>
      <c r="L48" s="241"/>
      <c r="M48" s="241"/>
      <c r="N48" s="241"/>
      <c r="O48" s="241"/>
      <c r="P48" s="241"/>
      <c r="R48" s="285"/>
    </row>
    <row r="49" spans="2:18">
      <c r="B49" s="413" t="s">
        <v>191</v>
      </c>
      <c r="C49" s="366">
        <f>IF(B49="Studio",2, IF(B49="1BR",3, IF(B49="2BR",4, IF(B49="3BR",5, IF(B49="4BR",6)))))</f>
        <v>6</v>
      </c>
      <c r="D49" s="344"/>
      <c r="E49" s="344"/>
      <c r="F49" s="362">
        <v>0</v>
      </c>
      <c r="G49" s="365">
        <v>0</v>
      </c>
      <c r="H49" s="431">
        <f>F49-G49</f>
        <v>0</v>
      </c>
      <c r="I49" s="875">
        <f>H49*E49*12</f>
        <v>0</v>
      </c>
      <c r="J49" s="241"/>
      <c r="K49" s="241"/>
      <c r="L49" s="241"/>
      <c r="M49" s="241"/>
      <c r="N49" s="241"/>
      <c r="O49" s="241"/>
      <c r="P49" s="241"/>
      <c r="Q49" s="286"/>
      <c r="R49" s="285"/>
    </row>
    <row r="50" spans="2:18" s="241" customFormat="1">
      <c r="B50" s="414"/>
      <c r="C50" s="286"/>
      <c r="D50" s="335"/>
      <c r="E50" s="336"/>
      <c r="G50" s="286"/>
      <c r="H50" s="286"/>
      <c r="I50" s="873"/>
      <c r="Q50" s="286"/>
      <c r="R50" s="285"/>
    </row>
    <row r="51" spans="2:18">
      <c r="B51" s="413" t="s">
        <v>16</v>
      </c>
      <c r="C51" s="366">
        <f>IF(B51="Studio",2, IF(B51="1BR",3, IF(B51="2BR",4, IF(B51="3BR",5, IF(B51="4BR",6)))))</f>
        <v>2</v>
      </c>
      <c r="D51" s="347"/>
      <c r="E51" s="344"/>
      <c r="F51" s="362">
        <v>0</v>
      </c>
      <c r="G51" s="365">
        <v>0</v>
      </c>
      <c r="H51" s="431">
        <f t="shared" ref="H51:H55" si="2">F51-G51</f>
        <v>0</v>
      </c>
      <c r="I51" s="875">
        <f>H51*E51*12</f>
        <v>0</v>
      </c>
      <c r="J51" s="241"/>
      <c r="K51" s="241"/>
      <c r="L51" s="241"/>
      <c r="M51" s="241"/>
      <c r="N51" s="241"/>
      <c r="O51" s="241"/>
      <c r="P51" s="241"/>
      <c r="R51" s="285"/>
    </row>
    <row r="52" spans="2:18">
      <c r="B52" s="413" t="s">
        <v>188</v>
      </c>
      <c r="C52" s="366">
        <f>IF(B52="Studio",2, IF(B52="1BR",3, IF(B52="2BR",4, IF(B52="3BR",5, IF(B52="4BR",6)))))</f>
        <v>3</v>
      </c>
      <c r="D52" s="344"/>
      <c r="E52" s="344"/>
      <c r="F52" s="362">
        <v>0</v>
      </c>
      <c r="G52" s="365">
        <v>0</v>
      </c>
      <c r="H52" s="431">
        <f t="shared" si="2"/>
        <v>0</v>
      </c>
      <c r="I52" s="875">
        <f>H52*E52*12</f>
        <v>0</v>
      </c>
      <c r="J52" s="241"/>
      <c r="K52" s="241"/>
      <c r="L52" s="241"/>
      <c r="M52" s="241"/>
      <c r="N52" s="241"/>
      <c r="O52" s="241"/>
      <c r="P52" s="241"/>
      <c r="R52" s="247"/>
    </row>
    <row r="53" spans="2:18">
      <c r="B53" s="413" t="s">
        <v>189</v>
      </c>
      <c r="C53" s="366">
        <f>IF(B53="Studio",2, IF(B53="1BR",3, IF(B53="2BR",4, IF(B53="3BR",5, IF(B53="4BR",6)))))</f>
        <v>4</v>
      </c>
      <c r="D53" s="344"/>
      <c r="E53" s="344"/>
      <c r="F53" s="362">
        <v>0</v>
      </c>
      <c r="G53" s="365">
        <v>0</v>
      </c>
      <c r="H53" s="431">
        <f t="shared" si="2"/>
        <v>0</v>
      </c>
      <c r="I53" s="875">
        <f>H53*E53*12</f>
        <v>0</v>
      </c>
      <c r="J53" s="241"/>
      <c r="K53" s="241"/>
      <c r="L53" s="241"/>
      <c r="M53" s="241"/>
      <c r="N53" s="241"/>
      <c r="O53" s="241"/>
      <c r="P53" s="241"/>
      <c r="R53" s="285"/>
    </row>
    <row r="54" spans="2:18">
      <c r="B54" s="413" t="s">
        <v>190</v>
      </c>
      <c r="C54" s="366">
        <f>IF(B54="Studio",2, IF(B54="1BR",3, IF(B54="2BR",4, IF(B54="3BR",5, IF(B54="4BR",6)))))</f>
        <v>5</v>
      </c>
      <c r="D54" s="344"/>
      <c r="E54" s="344"/>
      <c r="F54" s="362">
        <v>0</v>
      </c>
      <c r="G54" s="365">
        <v>0</v>
      </c>
      <c r="H54" s="431">
        <f t="shared" si="2"/>
        <v>0</v>
      </c>
      <c r="I54" s="875">
        <f>H54*E54*12</f>
        <v>0</v>
      </c>
      <c r="J54" s="241"/>
      <c r="K54" s="241"/>
      <c r="L54" s="241"/>
      <c r="M54" s="241"/>
      <c r="N54" s="241"/>
      <c r="O54" s="241"/>
      <c r="P54" s="241"/>
      <c r="R54" s="287"/>
    </row>
    <row r="55" spans="2:18">
      <c r="B55" s="413" t="s">
        <v>191</v>
      </c>
      <c r="C55" s="366">
        <f>IF(B55="Studio",2, IF(B55="1BR",3, IF(B55="2BR",4, IF(B55="3BR",5, IF(B55="4BR",6)))))</f>
        <v>6</v>
      </c>
      <c r="D55" s="344"/>
      <c r="E55" s="344"/>
      <c r="F55" s="362">
        <v>0</v>
      </c>
      <c r="G55" s="365">
        <v>0</v>
      </c>
      <c r="H55" s="431">
        <f t="shared" si="2"/>
        <v>0</v>
      </c>
      <c r="I55" s="875">
        <f>H55*E55*12</f>
        <v>0</v>
      </c>
      <c r="J55" s="241"/>
      <c r="K55" s="241"/>
      <c r="L55" s="241"/>
      <c r="M55" s="241"/>
      <c r="N55" s="241"/>
      <c r="O55" s="241"/>
      <c r="P55" s="241"/>
      <c r="Q55" s="286"/>
      <c r="R55" s="285"/>
    </row>
    <row r="56" spans="2:18" s="241" customFormat="1">
      <c r="B56" s="414"/>
      <c r="C56" s="286"/>
      <c r="D56" s="581"/>
      <c r="E56" s="286"/>
      <c r="G56" s="286"/>
      <c r="H56" s="286"/>
      <c r="I56" s="873"/>
      <c r="Q56" s="286"/>
      <c r="R56" s="285"/>
    </row>
    <row r="57" spans="2:18">
      <c r="B57" s="413" t="s">
        <v>16</v>
      </c>
      <c r="C57" s="366">
        <f>IF(B57="Studio",2, IF(B57="1BR",3, IF(B57="2BR",4, IF(B57="3BR",5, IF(B57="4BR",6)))))</f>
        <v>2</v>
      </c>
      <c r="D57" s="347"/>
      <c r="E57" s="344"/>
      <c r="F57" s="362">
        <v>0</v>
      </c>
      <c r="G57" s="872">
        <v>0</v>
      </c>
      <c r="H57" s="431">
        <f t="shared" ref="H57:H73" si="3">F57-G57</f>
        <v>0</v>
      </c>
      <c r="I57" s="875">
        <f>H57*E57*12</f>
        <v>0</v>
      </c>
      <c r="J57" s="241"/>
      <c r="K57" s="241"/>
      <c r="L57" s="241"/>
      <c r="M57" s="241"/>
      <c r="N57" s="241"/>
      <c r="O57" s="241"/>
      <c r="P57" s="241"/>
      <c r="R57" s="285"/>
    </row>
    <row r="58" spans="2:18">
      <c r="B58" s="413" t="s">
        <v>188</v>
      </c>
      <c r="C58" s="366">
        <f>IF(B58="Studio",2, IF(B58="1BR",3, IF(B58="2BR",4, IF(B58="3BR",5, IF(B58="4BR",6)))))</f>
        <v>3</v>
      </c>
      <c r="D58" s="344"/>
      <c r="E58" s="344"/>
      <c r="F58" s="362">
        <v>0</v>
      </c>
      <c r="G58" s="872">
        <v>0</v>
      </c>
      <c r="H58" s="431">
        <f t="shared" si="3"/>
        <v>0</v>
      </c>
      <c r="I58" s="875">
        <f>H58*E58*12</f>
        <v>0</v>
      </c>
      <c r="J58" s="241"/>
      <c r="K58" s="241"/>
      <c r="L58" s="241"/>
      <c r="M58" s="241"/>
      <c r="N58" s="241"/>
      <c r="O58" s="241"/>
      <c r="P58" s="241"/>
      <c r="R58" s="247"/>
    </row>
    <row r="59" spans="2:18">
      <c r="B59" s="413" t="s">
        <v>189</v>
      </c>
      <c r="C59" s="366">
        <f>IF(B59="Studio",2, IF(B59="1BR",3, IF(B59="2BR",4, IF(B59="3BR",5, IF(B59="4BR",6)))))</f>
        <v>4</v>
      </c>
      <c r="D59" s="344"/>
      <c r="E59" s="344"/>
      <c r="F59" s="362">
        <v>0</v>
      </c>
      <c r="G59" s="872">
        <v>0</v>
      </c>
      <c r="H59" s="431">
        <f t="shared" si="3"/>
        <v>0</v>
      </c>
      <c r="I59" s="875">
        <f>H59*E59*12</f>
        <v>0</v>
      </c>
      <c r="J59" s="241"/>
      <c r="K59" s="241"/>
      <c r="L59" s="241"/>
      <c r="M59" s="241"/>
      <c r="N59" s="241"/>
      <c r="O59" s="241"/>
      <c r="P59" s="241"/>
      <c r="R59" s="285"/>
    </row>
    <row r="60" spans="2:18">
      <c r="B60" s="413" t="s">
        <v>190</v>
      </c>
      <c r="C60" s="366">
        <f>IF(B60="Studio",2, IF(B60="1BR",3, IF(B60="2BR",4, IF(B60="3BR",5, IF(B60="4BR",6)))))</f>
        <v>5</v>
      </c>
      <c r="D60" s="344"/>
      <c r="E60" s="344"/>
      <c r="F60" s="362">
        <v>0</v>
      </c>
      <c r="G60" s="872">
        <v>0</v>
      </c>
      <c r="H60" s="431">
        <f t="shared" si="3"/>
        <v>0</v>
      </c>
      <c r="I60" s="875">
        <f>H60*E60*12</f>
        <v>0</v>
      </c>
      <c r="J60" s="241"/>
      <c r="K60" s="241"/>
      <c r="L60" s="241"/>
      <c r="M60" s="241"/>
      <c r="N60" s="241"/>
      <c r="O60" s="241"/>
      <c r="P60" s="241"/>
      <c r="R60" s="285"/>
    </row>
    <row r="61" spans="2:18">
      <c r="B61" s="413" t="s">
        <v>191</v>
      </c>
      <c r="C61" s="366">
        <f>IF(B61="Studio",2, IF(B61="1BR",3, IF(B61="2BR",4, IF(B61="3BR",5, IF(B61="4BR",6)))))</f>
        <v>6</v>
      </c>
      <c r="D61" s="344"/>
      <c r="E61" s="344"/>
      <c r="F61" s="362">
        <v>0</v>
      </c>
      <c r="G61" s="872">
        <v>0</v>
      </c>
      <c r="H61" s="431">
        <f t="shared" si="3"/>
        <v>0</v>
      </c>
      <c r="I61" s="875">
        <f>H61*E61*12</f>
        <v>0</v>
      </c>
      <c r="J61" s="241"/>
      <c r="K61" s="241"/>
      <c r="L61" s="241"/>
      <c r="M61" s="241"/>
      <c r="N61" s="241"/>
      <c r="O61" s="241"/>
      <c r="P61" s="241"/>
      <c r="Q61" s="286"/>
      <c r="R61" s="285"/>
    </row>
    <row r="62" spans="2:18" s="241" customFormat="1">
      <c r="B62" s="414"/>
      <c r="C62" s="286"/>
      <c r="D62" s="286"/>
      <c r="E62" s="286"/>
      <c r="H62" s="286"/>
      <c r="I62" s="873"/>
      <c r="P62" s="286"/>
      <c r="Q62" s="286"/>
      <c r="R62" s="285"/>
    </row>
    <row r="63" spans="2:18" s="241" customFormat="1">
      <c r="B63" s="413" t="s">
        <v>16</v>
      </c>
      <c r="C63" s="366">
        <f>IF(B63="Studio",2, IF(B63="1BR",3, IF(B63="2BR",4, IF(B63="3BR",5, IF(B63="4BR",6)))))</f>
        <v>2</v>
      </c>
      <c r="D63" s="347"/>
      <c r="E63" s="344"/>
      <c r="F63" s="362">
        <v>0</v>
      </c>
      <c r="G63" s="365">
        <v>0</v>
      </c>
      <c r="H63" s="431">
        <f t="shared" ref="H63:H67" si="4">F63-G63</f>
        <v>0</v>
      </c>
      <c r="I63" s="876">
        <f>H63*E63*12</f>
        <v>0</v>
      </c>
      <c r="P63" s="324"/>
      <c r="R63" s="285"/>
    </row>
    <row r="64" spans="2:18" s="241" customFormat="1">
      <c r="B64" s="413" t="s">
        <v>188</v>
      </c>
      <c r="C64" s="366">
        <f>IF(B64="Studio",2, IF(B64="1BR",3, IF(B64="2BR",4, IF(B64="3BR",5, IF(B64="4BR",6)))))</f>
        <v>3</v>
      </c>
      <c r="D64" s="344"/>
      <c r="E64" s="344"/>
      <c r="F64" s="362">
        <v>0</v>
      </c>
      <c r="G64" s="365">
        <v>0</v>
      </c>
      <c r="H64" s="431">
        <f t="shared" si="4"/>
        <v>0</v>
      </c>
      <c r="I64" s="876">
        <f>H64*E64*12</f>
        <v>0</v>
      </c>
      <c r="P64" s="324"/>
      <c r="R64" s="285"/>
    </row>
    <row r="65" spans="2:19" s="241" customFormat="1">
      <c r="B65" s="413" t="s">
        <v>189</v>
      </c>
      <c r="C65" s="366">
        <f>IF(B65="Studio",2, IF(B65="1BR",3, IF(B65="2BR",4, IF(B65="3BR",5, IF(B65="4BR",6)))))</f>
        <v>4</v>
      </c>
      <c r="D65" s="344"/>
      <c r="E65" s="344"/>
      <c r="F65" s="362">
        <v>0</v>
      </c>
      <c r="G65" s="365">
        <v>0</v>
      </c>
      <c r="H65" s="431">
        <f t="shared" si="4"/>
        <v>0</v>
      </c>
      <c r="I65" s="876">
        <f>H65*E65*12</f>
        <v>0</v>
      </c>
      <c r="P65" s="324"/>
      <c r="R65" s="285"/>
    </row>
    <row r="66" spans="2:19" s="241" customFormat="1">
      <c r="B66" s="854" t="s">
        <v>190</v>
      </c>
      <c r="C66" s="366">
        <f>IF(B66="Studio",2, IF(B66="1BR",3, IF(B66="2BR",4, IF(B66="3BR",5, IF(B66="4BR",6)))))</f>
        <v>5</v>
      </c>
      <c r="D66" s="344"/>
      <c r="E66" s="344"/>
      <c r="F66" s="362">
        <v>0</v>
      </c>
      <c r="G66" s="365">
        <v>0</v>
      </c>
      <c r="H66" s="431">
        <f t="shared" si="4"/>
        <v>0</v>
      </c>
      <c r="I66" s="876">
        <f>H66*E66*12</f>
        <v>0</v>
      </c>
      <c r="P66" s="324"/>
      <c r="R66" s="285"/>
    </row>
    <row r="67" spans="2:19" s="241" customFormat="1">
      <c r="B67" s="413" t="s">
        <v>191</v>
      </c>
      <c r="C67" s="366">
        <f>IF(B67="Studio",2, IF(B67="1BR",3, IF(B67="2BR",4, IF(B67="3BR",5, IF(B67="4BR",6)))))</f>
        <v>6</v>
      </c>
      <c r="D67" s="344"/>
      <c r="E67" s="344"/>
      <c r="F67" s="362">
        <v>0</v>
      </c>
      <c r="G67" s="365">
        <v>0</v>
      </c>
      <c r="H67" s="431">
        <f t="shared" si="4"/>
        <v>0</v>
      </c>
      <c r="I67" s="876">
        <f>H67*E67*12</f>
        <v>0</v>
      </c>
      <c r="P67" s="324"/>
      <c r="R67" s="285"/>
    </row>
    <row r="68" spans="2:19" s="241" customFormat="1">
      <c r="B68" s="414"/>
      <c r="C68" s="286"/>
      <c r="D68" s="286"/>
      <c r="E68" s="286"/>
      <c r="H68" s="286"/>
      <c r="I68" s="873"/>
      <c r="P68" s="286"/>
      <c r="Q68" s="286"/>
      <c r="R68" s="285"/>
    </row>
    <row r="69" spans="2:19" s="241" customFormat="1">
      <c r="B69" s="413" t="s">
        <v>16</v>
      </c>
      <c r="C69" s="366">
        <f>IF(B69="Studio",2, IF(B69="1BR",3, IF(B69="2BR",4, IF(B69="3BR",5, IF(B69="4BR",6)))))</f>
        <v>2</v>
      </c>
      <c r="D69" s="347"/>
      <c r="E69" s="344"/>
      <c r="F69" s="362">
        <v>0</v>
      </c>
      <c r="G69" s="365">
        <v>0</v>
      </c>
      <c r="H69" s="431">
        <f t="shared" si="3"/>
        <v>0</v>
      </c>
      <c r="I69" s="876">
        <f>H69*E69*12</f>
        <v>0</v>
      </c>
      <c r="P69" s="324"/>
      <c r="R69" s="285"/>
    </row>
    <row r="70" spans="2:19" s="241" customFormat="1">
      <c r="B70" s="413" t="s">
        <v>188</v>
      </c>
      <c r="C70" s="366">
        <f>IF(B70="Studio",2, IF(B70="1BR",3, IF(B70="2BR",4, IF(B70="3BR",5, IF(B70="4BR",6)))))</f>
        <v>3</v>
      </c>
      <c r="D70" s="344"/>
      <c r="E70" s="344"/>
      <c r="F70" s="362">
        <v>0</v>
      </c>
      <c r="G70" s="365">
        <v>0</v>
      </c>
      <c r="H70" s="431">
        <f t="shared" si="3"/>
        <v>0</v>
      </c>
      <c r="I70" s="876">
        <f>H70*E70*12</f>
        <v>0</v>
      </c>
      <c r="P70" s="324"/>
      <c r="R70" s="285"/>
    </row>
    <row r="71" spans="2:19" s="241" customFormat="1">
      <c r="B71" s="413" t="s">
        <v>189</v>
      </c>
      <c r="C71" s="366">
        <f>IF(B71="Studio",2, IF(B71="1BR",3, IF(B71="2BR",4, IF(B71="3BR",5, IF(B71="4BR",6)))))</f>
        <v>4</v>
      </c>
      <c r="D71" s="344"/>
      <c r="E71" s="344"/>
      <c r="F71" s="362">
        <v>0</v>
      </c>
      <c r="G71" s="365">
        <v>0</v>
      </c>
      <c r="H71" s="431">
        <f t="shared" si="3"/>
        <v>0</v>
      </c>
      <c r="I71" s="876">
        <f>H71*E71*12</f>
        <v>0</v>
      </c>
      <c r="P71" s="324"/>
      <c r="R71" s="285"/>
    </row>
    <row r="72" spans="2:19" s="241" customFormat="1">
      <c r="B72" s="854" t="s">
        <v>190</v>
      </c>
      <c r="C72" s="366">
        <f>IF(B72="Studio",2, IF(B72="1BR",3, IF(B72="2BR",4, IF(B72="3BR",5, IF(B72="4BR",6)))))</f>
        <v>5</v>
      </c>
      <c r="D72" s="344"/>
      <c r="E72" s="344"/>
      <c r="F72" s="362">
        <v>0</v>
      </c>
      <c r="G72" s="365">
        <v>0</v>
      </c>
      <c r="H72" s="431">
        <f t="shared" si="3"/>
        <v>0</v>
      </c>
      <c r="I72" s="876">
        <f>H72*E72*12</f>
        <v>0</v>
      </c>
      <c r="P72" s="324"/>
      <c r="R72" s="285"/>
    </row>
    <row r="73" spans="2:19" s="241" customFormat="1">
      <c r="B73" s="413" t="s">
        <v>191</v>
      </c>
      <c r="C73" s="366">
        <f>IF(B73="Studio",2, IF(B73="1BR",3, IF(B73="2BR",4, IF(B73="3BR",5, IF(B73="4BR",6)))))</f>
        <v>6</v>
      </c>
      <c r="D73" s="344"/>
      <c r="E73" s="344"/>
      <c r="F73" s="362">
        <v>0</v>
      </c>
      <c r="G73" s="422">
        <v>0</v>
      </c>
      <c r="H73" s="431">
        <f t="shared" si="3"/>
        <v>0</v>
      </c>
      <c r="I73" s="876">
        <f>H73*E73*12</f>
        <v>0</v>
      </c>
      <c r="P73" s="324"/>
      <c r="R73" s="285"/>
    </row>
    <row r="74" spans="2:19" s="241" customFormat="1" ht="15.75">
      <c r="B74" s="415"/>
      <c r="C74" s="337"/>
      <c r="D74" s="337"/>
      <c r="E74" s="283"/>
      <c r="F74" s="286"/>
      <c r="G74" s="423"/>
      <c r="H74" s="582" t="s">
        <v>207</v>
      </c>
      <c r="I74" s="874">
        <f>SUM(I45:I49)+SUM(I51:I55)+SUM(I57:I61)+SUM(I63:I67)+SUM(I69:I73)</f>
        <v>0</v>
      </c>
      <c r="R74" s="285"/>
    </row>
    <row r="75" spans="2:19" s="241" customFormat="1" ht="21.75" customHeight="1">
      <c r="B75" s="416"/>
      <c r="C75" s="283"/>
      <c r="D75" s="283"/>
      <c r="E75" s="283"/>
      <c r="F75" s="286"/>
      <c r="G75" s="338" t="s">
        <v>274</v>
      </c>
      <c r="H75" s="1047">
        <f>SUM(E45:E49)+SUM(E51:E55)+SUM(E57:E61)+SUM(E63:E67)+SUM(E69:E73)</f>
        <v>0</v>
      </c>
      <c r="I75" s="583" t="s">
        <v>272</v>
      </c>
      <c r="Q75" s="286"/>
      <c r="R75" s="285"/>
    </row>
    <row r="76" spans="2:19" s="241" customFormat="1" ht="15.75">
      <c r="B76" s="416"/>
      <c r="C76" s="283"/>
      <c r="D76" s="283"/>
      <c r="E76" s="283"/>
      <c r="F76" s="286"/>
      <c r="G76" s="338" t="s">
        <v>138</v>
      </c>
      <c r="H76" s="972"/>
      <c r="I76" s="417" t="e">
        <f>H76/H75</f>
        <v>#DIV/0!</v>
      </c>
      <c r="Q76" s="286"/>
      <c r="R76" s="285"/>
    </row>
    <row r="77" spans="2:19" s="241" customFormat="1" ht="15.75">
      <c r="B77" s="416"/>
      <c r="C77" s="283"/>
      <c r="D77" s="283"/>
      <c r="E77" s="283"/>
      <c r="F77" s="286"/>
      <c r="G77" s="338"/>
      <c r="H77" s="339"/>
      <c r="I77" s="417"/>
      <c r="Q77" s="286"/>
      <c r="R77" s="285"/>
    </row>
    <row r="78" spans="2:19" s="241" customFormat="1" ht="15.75">
      <c r="B78" s="973"/>
      <c r="C78" s="974"/>
      <c r="D78" s="974"/>
      <c r="E78" s="974"/>
      <c r="F78" s="418"/>
      <c r="G78" s="419"/>
      <c r="H78" s="420" t="s">
        <v>267</v>
      </c>
      <c r="I78" s="421">
        <f>I74+F40</f>
        <v>0</v>
      </c>
      <c r="Q78" s="286"/>
      <c r="R78" s="285"/>
    </row>
    <row r="79" spans="2:19" s="241" customFormat="1" ht="15.75">
      <c r="B79" s="276"/>
      <c r="C79" s="276"/>
      <c r="D79" s="276"/>
      <c r="E79" s="276"/>
      <c r="F79" s="278"/>
      <c r="G79" s="278"/>
      <c r="H79" s="278"/>
      <c r="R79" s="288"/>
      <c r="S79" s="280"/>
    </row>
    <row r="80" spans="2:19" s="241" customFormat="1">
      <c r="I80" s="248"/>
      <c r="N80" s="327"/>
      <c r="O80" s="279"/>
      <c r="P80" s="327"/>
      <c r="Q80" s="279"/>
    </row>
    <row r="81" spans="14:17" s="289" customFormat="1" ht="26.25" customHeight="1">
      <c r="Q81" s="279"/>
    </row>
    <row r="82" spans="14:17" s="241" customFormat="1">
      <c r="N82" s="291"/>
      <c r="O82" s="328"/>
      <c r="P82" s="327"/>
      <c r="Q82" s="279"/>
    </row>
    <row r="83" spans="14:17" s="241" customFormat="1">
      <c r="N83" s="291"/>
      <c r="O83" s="328"/>
      <c r="P83" s="327"/>
      <c r="Q83" s="290"/>
    </row>
    <row r="84" spans="14:17" s="289" customFormat="1" ht="15" customHeight="1">
      <c r="N84" s="292"/>
      <c r="O84" s="292"/>
      <c r="P84" s="292"/>
      <c r="Q84" s="291"/>
    </row>
    <row r="85" spans="14:17" s="241" customFormat="1">
      <c r="N85" s="329"/>
      <c r="O85" s="292"/>
      <c r="P85" s="292"/>
      <c r="Q85" s="292"/>
    </row>
    <row r="86" spans="14:17" s="241" customFormat="1">
      <c r="N86" s="329"/>
      <c r="O86" s="292"/>
      <c r="P86" s="292"/>
      <c r="Q86" s="292"/>
    </row>
    <row r="87" spans="14:17" s="241" customFormat="1" ht="14.25" customHeight="1">
      <c r="N87" s="330"/>
      <c r="O87" s="292"/>
      <c r="P87" s="292"/>
      <c r="Q87" s="292"/>
    </row>
    <row r="88" spans="14:17" s="241" customFormat="1">
      <c r="N88" s="330"/>
      <c r="O88" s="292"/>
      <c r="P88" s="329"/>
      <c r="Q88" s="292"/>
    </row>
    <row r="89" spans="14:17" s="241" customFormat="1">
      <c r="N89" s="330"/>
      <c r="O89" s="292"/>
      <c r="P89" s="329"/>
      <c r="Q89" s="292"/>
    </row>
    <row r="90" spans="14:17" s="289" customFormat="1" ht="15" customHeight="1">
      <c r="N90" s="329"/>
      <c r="O90" s="331"/>
      <c r="P90" s="331"/>
      <c r="Q90" s="292"/>
    </row>
    <row r="91" spans="14:17" s="241" customFormat="1">
      <c r="N91" s="331"/>
      <c r="O91" s="331"/>
      <c r="P91" s="331"/>
      <c r="Q91" s="292"/>
    </row>
    <row r="92" spans="14:17" s="241" customFormat="1">
      <c r="N92" s="331"/>
      <c r="O92" s="331"/>
      <c r="P92" s="331"/>
      <c r="Q92" s="292"/>
    </row>
    <row r="93" spans="14:17" s="241" customFormat="1">
      <c r="N93" s="331"/>
      <c r="O93" s="331"/>
      <c r="P93" s="331"/>
      <c r="Q93" s="292"/>
    </row>
    <row r="94" spans="14:17" s="241" customFormat="1">
      <c r="N94" s="331"/>
      <c r="O94" s="331"/>
      <c r="P94" s="331"/>
      <c r="Q94" s="292"/>
    </row>
    <row r="95" spans="14:17" s="241" customFormat="1">
      <c r="N95" s="331"/>
      <c r="O95" s="292"/>
      <c r="P95" s="331"/>
      <c r="Q95" s="292"/>
    </row>
    <row r="96" spans="14:17" s="241" customFormat="1">
      <c r="N96" s="248"/>
      <c r="O96" s="248"/>
      <c r="P96" s="248"/>
      <c r="Q96" s="248"/>
    </row>
    <row r="97" spans="2:17" s="241" customFormat="1" ht="15.75">
      <c r="I97" s="334"/>
      <c r="N97" s="248"/>
      <c r="O97" s="248"/>
      <c r="P97" s="248"/>
      <c r="Q97" s="248"/>
    </row>
    <row r="98" spans="2:17" s="241" customFormat="1" ht="25.5" customHeight="1">
      <c r="P98" s="285"/>
      <c r="Q98" s="285"/>
    </row>
    <row r="99" spans="2:17" s="241" customFormat="1" ht="15.75" hidden="1" thickBot="1">
      <c r="B99" s="293" t="s">
        <v>302</v>
      </c>
    </row>
    <row r="100" spans="2:17" s="241" customFormat="1" ht="18.75" hidden="1">
      <c r="B100" s="294" t="s">
        <v>280</v>
      </c>
      <c r="C100" s="295"/>
      <c r="D100" s="296"/>
      <c r="E100" s="296"/>
      <c r="F100" s="296"/>
      <c r="G100" s="296"/>
      <c r="H100" s="296"/>
      <c r="I100" s="297"/>
    </row>
    <row r="101" spans="2:17" s="241" customFormat="1" hidden="1">
      <c r="B101" s="298"/>
      <c r="C101" s="299"/>
      <c r="D101" s="300"/>
      <c r="E101" s="300"/>
      <c r="F101" s="300"/>
      <c r="G101" s="300"/>
      <c r="H101" s="300"/>
      <c r="I101" s="301"/>
    </row>
    <row r="102" spans="2:17" s="241" customFormat="1" ht="15.75" hidden="1">
      <c r="B102" s="302"/>
      <c r="C102" s="300"/>
      <c r="D102" s="300" t="s">
        <v>281</v>
      </c>
      <c r="E102" s="303"/>
      <c r="F102" s="303"/>
      <c r="G102" s="300"/>
      <c r="H102" s="300"/>
      <c r="I102" s="301"/>
    </row>
    <row r="103" spans="2:17" s="241" customFormat="1" ht="26.25" hidden="1">
      <c r="B103" s="304" t="s">
        <v>282</v>
      </c>
      <c r="C103" s="300"/>
      <c r="D103" s="305" t="s">
        <v>283</v>
      </c>
      <c r="E103" s="305" t="s">
        <v>284</v>
      </c>
      <c r="F103" s="305" t="s">
        <v>285</v>
      </c>
      <c r="G103" s="306" t="s">
        <v>286</v>
      </c>
      <c r="H103" s="306" t="s">
        <v>287</v>
      </c>
      <c r="I103" s="307" t="s">
        <v>288</v>
      </c>
    </row>
    <row r="104" spans="2:17" s="241" customFormat="1" hidden="1">
      <c r="B104" s="302" t="s">
        <v>289</v>
      </c>
      <c r="C104" s="300"/>
      <c r="D104" s="308" t="s">
        <v>290</v>
      </c>
      <c r="E104" s="308" t="s">
        <v>40</v>
      </c>
      <c r="F104" s="308" t="s">
        <v>40</v>
      </c>
      <c r="G104" s="308"/>
      <c r="H104" s="308"/>
      <c r="I104" s="309">
        <f>43080*12</f>
        <v>516960</v>
      </c>
    </row>
    <row r="105" spans="2:17" s="241" customFormat="1" hidden="1">
      <c r="B105" s="302" t="s">
        <v>291</v>
      </c>
      <c r="C105" s="300"/>
      <c r="D105" s="308">
        <v>0</v>
      </c>
      <c r="E105" s="308">
        <v>0</v>
      </c>
      <c r="F105" s="308">
        <v>0</v>
      </c>
      <c r="G105" s="308"/>
      <c r="H105" s="308"/>
      <c r="I105" s="309">
        <f>450*12</f>
        <v>5400</v>
      </c>
    </row>
    <row r="106" spans="2:17" s="241" customFormat="1" ht="15.75" hidden="1" thickBot="1">
      <c r="B106" s="302"/>
      <c r="C106" s="300"/>
      <c r="D106" s="310"/>
      <c r="E106" s="310"/>
      <c r="F106" s="310">
        <f>SUM(F104:F105)</f>
        <v>0</v>
      </c>
      <c r="G106" s="310"/>
      <c r="H106" s="310"/>
      <c r="I106" s="311">
        <f>SUM(I104:I105)</f>
        <v>522360</v>
      </c>
    </row>
    <row r="107" spans="2:17" s="241" customFormat="1" ht="16.5" hidden="1" thickTop="1">
      <c r="B107" s="304" t="s">
        <v>292</v>
      </c>
      <c r="C107" s="300"/>
      <c r="D107" s="312"/>
      <c r="E107" s="312"/>
      <c r="F107" s="312"/>
      <c r="G107" s="312"/>
      <c r="H107" s="300"/>
      <c r="I107" s="301"/>
    </row>
    <row r="108" spans="2:17" s="241" customFormat="1" hidden="1">
      <c r="B108" s="302" t="s">
        <v>293</v>
      </c>
      <c r="C108" s="300"/>
      <c r="D108" s="300">
        <v>59</v>
      </c>
      <c r="E108" s="300" t="s">
        <v>40</v>
      </c>
      <c r="F108" s="300" t="s">
        <v>40</v>
      </c>
      <c r="G108" s="300"/>
      <c r="H108" s="300"/>
      <c r="I108" s="301"/>
    </row>
    <row r="109" spans="2:17" s="241" customFormat="1" hidden="1">
      <c r="B109" s="302" t="s">
        <v>294</v>
      </c>
      <c r="C109" s="300"/>
      <c r="D109" s="300">
        <v>1</v>
      </c>
      <c r="E109" s="300" t="s">
        <v>40</v>
      </c>
      <c r="F109" s="300" t="s">
        <v>40</v>
      </c>
      <c r="G109" s="300"/>
      <c r="H109" s="300"/>
      <c r="I109" s="301"/>
    </row>
    <row r="110" spans="2:17" s="241" customFormat="1" hidden="1">
      <c r="B110" s="313" t="s">
        <v>295</v>
      </c>
      <c r="C110" s="300"/>
      <c r="D110" s="300">
        <v>60</v>
      </c>
      <c r="E110" s="300">
        <v>60</v>
      </c>
      <c r="F110" s="300">
        <v>60</v>
      </c>
      <c r="G110" s="300"/>
      <c r="H110" s="300"/>
      <c r="I110" s="301"/>
    </row>
    <row r="111" spans="2:17" s="241" customFormat="1" hidden="1">
      <c r="B111" s="313"/>
      <c r="C111" s="300"/>
      <c r="D111" s="300"/>
      <c r="E111" s="300"/>
      <c r="F111" s="300"/>
      <c r="G111" s="300"/>
      <c r="H111" s="300"/>
      <c r="I111" s="301"/>
    </row>
    <row r="112" spans="2:17" s="241" customFormat="1" ht="15.75" hidden="1">
      <c r="B112" s="314" t="s">
        <v>296</v>
      </c>
      <c r="C112" s="300"/>
      <c r="D112" s="315">
        <f>D108/D110</f>
        <v>0.98333333333333328</v>
      </c>
      <c r="E112" s="315">
        <f>E108/E110</f>
        <v>0</v>
      </c>
      <c r="F112" s="315">
        <f>F108/F110</f>
        <v>0</v>
      </c>
      <c r="G112" s="300" t="e">
        <f>G108/G110</f>
        <v>#DIV/0!</v>
      </c>
      <c r="H112" s="300" t="e">
        <f>H108/H110</f>
        <v>#DIV/0!</v>
      </c>
      <c r="I112" s="301"/>
    </row>
    <row r="113" spans="2:9" s="241" customFormat="1" hidden="1">
      <c r="B113" s="316"/>
      <c r="C113" s="300"/>
      <c r="D113" s="317"/>
      <c r="E113" s="317"/>
      <c r="F113" s="317" t="s">
        <v>290</v>
      </c>
      <c r="G113" s="317" t="e">
        <f>G108/G110</f>
        <v>#DIV/0!</v>
      </c>
      <c r="H113" s="317" t="e">
        <f>H108/H110</f>
        <v>#DIV/0!</v>
      </c>
      <c r="I113" s="301"/>
    </row>
    <row r="114" spans="2:9" s="241" customFormat="1" ht="15.75" hidden="1" thickBot="1">
      <c r="B114" s="318" t="s">
        <v>40</v>
      </c>
      <c r="C114" s="319"/>
      <c r="D114" s="319"/>
      <c r="E114" s="319"/>
      <c r="F114" s="319"/>
      <c r="G114" s="319"/>
      <c r="H114" s="319"/>
      <c r="I114" s="320"/>
    </row>
    <row r="115" spans="2:9" s="241" customFormat="1" hidden="1">
      <c r="B115" s="300"/>
      <c r="C115" s="300"/>
      <c r="D115" s="300"/>
      <c r="E115" s="300"/>
      <c r="F115" s="300"/>
      <c r="G115" s="300"/>
      <c r="H115" s="300"/>
      <c r="I115" s="300"/>
    </row>
    <row r="116" spans="2:9" s="241" customFormat="1" hidden="1">
      <c r="B116" s="321"/>
      <c r="C116" s="321"/>
      <c r="D116" s="321"/>
      <c r="E116" s="321" t="s">
        <v>297</v>
      </c>
      <c r="F116" s="321" t="s">
        <v>298</v>
      </c>
      <c r="G116" s="321"/>
      <c r="H116" s="321"/>
      <c r="I116" s="321"/>
    </row>
    <row r="117" spans="2:9" s="241" customFormat="1" hidden="1">
      <c r="B117" s="1099" t="s">
        <v>299</v>
      </c>
      <c r="C117" s="1100"/>
      <c r="D117" s="1100"/>
      <c r="E117" s="322">
        <f>SUM(927-59)</f>
        <v>868</v>
      </c>
      <c r="F117" s="322">
        <f>E117*12</f>
        <v>10416</v>
      </c>
      <c r="G117" s="321"/>
      <c r="H117" s="321"/>
      <c r="I117" s="321"/>
    </row>
    <row r="118" spans="2:9" s="241" customFormat="1" hidden="1">
      <c r="B118" s="321" t="s">
        <v>300</v>
      </c>
      <c r="C118" s="321"/>
      <c r="D118" s="321"/>
      <c r="E118" s="322">
        <v>742</v>
      </c>
      <c r="F118" s="322">
        <f>SUM(E118*54)*12</f>
        <v>480816</v>
      </c>
      <c r="G118" s="321"/>
      <c r="H118" s="321"/>
      <c r="I118" s="321"/>
    </row>
    <row r="119" spans="2:9" s="241" customFormat="1" hidden="1">
      <c r="B119" s="321" t="s">
        <v>301</v>
      </c>
      <c r="C119" s="321"/>
      <c r="D119" s="321"/>
      <c r="E119" s="322">
        <v>905</v>
      </c>
      <c r="F119" s="322">
        <f>SUM(E119*5)*12</f>
        <v>54300</v>
      </c>
      <c r="G119" s="321"/>
      <c r="H119" s="321"/>
      <c r="I119" s="321"/>
    </row>
    <row r="120" spans="2:9" s="241" customFormat="1" hidden="1">
      <c r="B120" s="321"/>
      <c r="C120" s="321"/>
      <c r="D120" s="321"/>
      <c r="E120" s="322"/>
      <c r="F120" s="322"/>
      <c r="G120" s="321"/>
      <c r="H120" s="321"/>
      <c r="I120" s="321"/>
    </row>
    <row r="121" spans="2:9" s="241" customFormat="1" hidden="1">
      <c r="B121" s="321"/>
      <c r="C121" s="321"/>
      <c r="D121" s="321"/>
      <c r="E121" s="321"/>
      <c r="F121" s="323">
        <f>SUM(F117:F119)</f>
        <v>545532</v>
      </c>
      <c r="G121" s="321"/>
      <c r="H121" s="321"/>
      <c r="I121" s="321"/>
    </row>
    <row r="122" spans="2:9" s="241" customFormat="1"/>
    <row r="123" spans="2:9" s="241" customFormat="1" ht="15.75">
      <c r="B123" s="303"/>
    </row>
    <row r="124" spans="2:9" s="241" customFormat="1">
      <c r="B124" s="279"/>
    </row>
    <row r="125" spans="2:9" s="241" customFormat="1">
      <c r="B125" s="324"/>
    </row>
    <row r="126" spans="2:9" s="241" customFormat="1">
      <c r="B126" s="324"/>
    </row>
    <row r="127" spans="2:9" s="241" customFormat="1">
      <c r="B127" s="325"/>
      <c r="D127" s="326"/>
    </row>
    <row r="128" spans="2:9" s="241" customFormat="1"/>
    <row r="129" s="241" customFormat="1"/>
    <row r="130" s="241" customFormat="1"/>
    <row r="131" s="241" customFormat="1"/>
    <row r="132" s="241" customFormat="1"/>
    <row r="133" s="241" customFormat="1"/>
    <row r="134" s="241" customFormat="1"/>
    <row r="135" s="241" customFormat="1"/>
    <row r="136" s="241" customFormat="1"/>
    <row r="137" s="241" customFormat="1"/>
    <row r="138" s="241" customFormat="1"/>
    <row r="139" s="241" customFormat="1"/>
    <row r="140" s="241" customFormat="1"/>
    <row r="141" s="241" customFormat="1"/>
    <row r="142" s="241" customFormat="1"/>
    <row r="143" s="241" customFormat="1"/>
    <row r="144" s="241" customFormat="1"/>
    <row r="145" s="241" customFormat="1"/>
    <row r="146" s="241" customFormat="1"/>
    <row r="147" s="241" customFormat="1"/>
    <row r="148" s="241" customFormat="1"/>
    <row r="149" s="241" customFormat="1"/>
    <row r="150" s="241" customFormat="1"/>
    <row r="151" s="241" customFormat="1"/>
    <row r="152" s="241" customFormat="1"/>
    <row r="153" s="241" customFormat="1"/>
    <row r="154" s="241" customFormat="1"/>
    <row r="155" s="241" customFormat="1"/>
    <row r="156" s="241" customFormat="1"/>
    <row r="157" s="241" customFormat="1"/>
    <row r="158" s="241" customFormat="1"/>
    <row r="159" s="241" customFormat="1"/>
    <row r="160" s="241" customFormat="1"/>
    <row r="161" s="241" customFormat="1"/>
    <row r="162" s="241" customFormat="1"/>
    <row r="163" s="241" customFormat="1"/>
    <row r="164" s="241" customFormat="1"/>
    <row r="165" s="241" customFormat="1"/>
    <row r="166" s="241" customFormat="1"/>
    <row r="167" s="241" customFormat="1"/>
    <row r="168" s="241" customFormat="1"/>
    <row r="169" s="241" customFormat="1"/>
    <row r="170" s="241" customFormat="1"/>
    <row r="171" s="241" customFormat="1"/>
    <row r="172" s="241" customFormat="1"/>
    <row r="173" s="241" customFormat="1"/>
    <row r="174" s="241" customFormat="1"/>
    <row r="175" s="241" customFormat="1"/>
    <row r="176" s="241" customFormat="1"/>
    <row r="177" s="241" customFormat="1"/>
    <row r="178" s="241" customFormat="1"/>
    <row r="179" s="241" customFormat="1"/>
    <row r="180" s="241" customFormat="1"/>
    <row r="181" s="241" customFormat="1"/>
    <row r="182" s="241" customFormat="1"/>
    <row r="183" s="241" customFormat="1"/>
    <row r="184" s="241" customFormat="1"/>
    <row r="185" s="241" customFormat="1"/>
    <row r="186" s="241" customFormat="1"/>
    <row r="187" s="241" customFormat="1"/>
    <row r="188" s="241" customFormat="1"/>
    <row r="189" s="241" customFormat="1"/>
    <row r="190" s="241" customFormat="1"/>
    <row r="191" s="241" customFormat="1"/>
    <row r="192" s="241" customFormat="1"/>
    <row r="193" s="241" customFormat="1"/>
    <row r="194" s="241" customFormat="1"/>
    <row r="195" s="241" customFormat="1"/>
    <row r="196" s="241" customFormat="1"/>
    <row r="197" s="241" customFormat="1"/>
    <row r="198" s="241" customFormat="1"/>
    <row r="199" s="241" customFormat="1"/>
    <row r="200" s="241" customFormat="1"/>
    <row r="201" s="241" customFormat="1"/>
    <row r="202" s="241" customFormat="1"/>
    <row r="203" s="241" customFormat="1"/>
    <row r="204" s="241" customFormat="1"/>
    <row r="205" s="241" customFormat="1"/>
    <row r="206" s="241" customFormat="1"/>
    <row r="207" s="241" customFormat="1"/>
    <row r="208" s="241" customFormat="1"/>
    <row r="209" s="241" customFormat="1"/>
    <row r="210" s="241" customFormat="1"/>
    <row r="211" s="241" customFormat="1"/>
    <row r="212" s="241" customFormat="1"/>
    <row r="213" s="241" customFormat="1"/>
    <row r="214" s="241" customFormat="1"/>
    <row r="215" s="241" customFormat="1"/>
    <row r="216" s="241" customFormat="1"/>
    <row r="217" s="241" customFormat="1"/>
    <row r="218" s="241" customFormat="1"/>
    <row r="219" s="241" customFormat="1"/>
    <row r="220" s="241" customFormat="1"/>
    <row r="221" s="241" customFormat="1"/>
    <row r="222" s="241" customFormat="1"/>
    <row r="223" s="241" customFormat="1"/>
    <row r="224" s="241" customFormat="1"/>
    <row r="225" s="241" customFormat="1"/>
    <row r="226" s="241" customFormat="1"/>
    <row r="227" s="241" customFormat="1"/>
    <row r="228" s="241" customFormat="1"/>
    <row r="229" s="241" customFormat="1"/>
    <row r="230" s="241" customFormat="1"/>
    <row r="231" s="241" customFormat="1"/>
    <row r="232" s="241" customFormat="1"/>
    <row r="233" s="241" customFormat="1"/>
    <row r="234" s="241" customFormat="1"/>
    <row r="235" s="241" customFormat="1"/>
    <row r="236" s="241" customFormat="1"/>
    <row r="237" s="241" customFormat="1"/>
    <row r="238" s="241" customFormat="1"/>
    <row r="239" s="241" customFormat="1"/>
    <row r="240" s="241" customFormat="1"/>
    <row r="241" s="241" customFormat="1"/>
    <row r="242" s="241" customFormat="1"/>
    <row r="243" s="241" customFormat="1"/>
    <row r="244" s="241" customFormat="1"/>
    <row r="245" s="241" customFormat="1"/>
    <row r="246" s="241" customFormat="1"/>
    <row r="247" s="241" customFormat="1"/>
    <row r="248" s="241" customFormat="1"/>
    <row r="249" s="241" customFormat="1"/>
    <row r="250" s="241" customFormat="1"/>
    <row r="251" s="241" customFormat="1"/>
    <row r="252" s="241" customFormat="1"/>
    <row r="253" s="241" customFormat="1"/>
    <row r="254" s="241" customFormat="1"/>
    <row r="255" s="241" customFormat="1"/>
    <row r="256" s="241" customFormat="1"/>
    <row r="257" s="241" customFormat="1"/>
    <row r="258" s="241" customFormat="1"/>
    <row r="259" s="241" customFormat="1"/>
    <row r="260" s="241" customFormat="1"/>
    <row r="261" s="241" customFormat="1"/>
    <row r="262" s="241" customFormat="1"/>
    <row r="263" s="241" customFormat="1"/>
    <row r="264" s="241" customFormat="1"/>
    <row r="265" s="241" customFormat="1"/>
    <row r="266" s="241" customFormat="1"/>
    <row r="267" s="241" customFormat="1"/>
    <row r="268" s="241" customFormat="1"/>
    <row r="269" s="241" customFormat="1"/>
    <row r="270" s="241" customFormat="1"/>
    <row r="271" s="241" customFormat="1"/>
    <row r="272" s="241" customFormat="1"/>
    <row r="273" s="241" customFormat="1"/>
    <row r="274" s="241" customFormat="1"/>
    <row r="275" s="241" customFormat="1"/>
    <row r="276" s="241" customFormat="1"/>
    <row r="277" s="241" customFormat="1"/>
    <row r="278" s="241" customFormat="1"/>
    <row r="279" s="241" customFormat="1"/>
    <row r="280" s="241" customFormat="1"/>
    <row r="281" s="241" customFormat="1"/>
    <row r="282" s="241" customFormat="1"/>
    <row r="283" s="241" customFormat="1"/>
    <row r="284" s="241" customFormat="1"/>
    <row r="285" s="241" customFormat="1"/>
    <row r="286" s="241" customFormat="1"/>
    <row r="287" s="241" customFormat="1"/>
    <row r="288" s="241" customFormat="1"/>
    <row r="289" s="241" customFormat="1"/>
    <row r="290" s="241" customFormat="1"/>
    <row r="291" s="241" customFormat="1"/>
    <row r="292" s="241" customFormat="1"/>
    <row r="293" s="241" customFormat="1"/>
    <row r="294" s="241" customFormat="1"/>
    <row r="295" s="241" customFormat="1"/>
    <row r="296" s="241" customFormat="1"/>
    <row r="297" s="241" customFormat="1"/>
    <row r="298" s="241" customFormat="1"/>
    <row r="299" s="241" customFormat="1"/>
    <row r="300" s="241" customFormat="1"/>
    <row r="301" s="241" customFormat="1"/>
    <row r="302" s="241" customFormat="1"/>
    <row r="303" s="241" customFormat="1"/>
    <row r="304" s="241" customFormat="1"/>
    <row r="305" s="241" customFormat="1"/>
    <row r="306" s="241" customFormat="1"/>
    <row r="307" s="241" customFormat="1"/>
    <row r="308" s="241" customFormat="1"/>
    <row r="309" s="241" customFormat="1"/>
    <row r="310" s="241" customFormat="1"/>
    <row r="311" s="241" customFormat="1"/>
    <row r="312" s="241" customFormat="1"/>
    <row r="313" s="241" customFormat="1"/>
    <row r="314" s="241" customFormat="1"/>
    <row r="315" s="241" customFormat="1"/>
    <row r="316" s="241" customFormat="1"/>
    <row r="317" s="241" customFormat="1"/>
    <row r="318" s="241" customFormat="1"/>
    <row r="319" s="241" customFormat="1"/>
    <row r="320" s="241" customFormat="1"/>
    <row r="321" s="241" customFormat="1"/>
    <row r="322" s="241" customFormat="1"/>
    <row r="323" s="241" customFormat="1"/>
    <row r="324" s="241" customFormat="1"/>
    <row r="325" s="241" customFormat="1"/>
    <row r="326" s="241" customFormat="1"/>
    <row r="327" s="241" customFormat="1"/>
    <row r="328" s="241" customFormat="1"/>
    <row r="329" s="241" customFormat="1"/>
    <row r="330" s="241" customFormat="1"/>
    <row r="331" s="241" customFormat="1"/>
    <row r="332" s="241" customFormat="1"/>
    <row r="333" s="241" customFormat="1"/>
    <row r="334" s="241" customFormat="1"/>
    <row r="335" s="241" customFormat="1"/>
    <row r="336" s="241" customFormat="1"/>
    <row r="337" s="241" customFormat="1"/>
    <row r="338" s="241" customFormat="1"/>
    <row r="339" s="241" customFormat="1"/>
    <row r="340" s="241" customFormat="1"/>
    <row r="341" s="241" customFormat="1"/>
    <row r="342" s="241" customFormat="1"/>
    <row r="343" s="241" customFormat="1"/>
    <row r="344" s="241" customFormat="1"/>
    <row r="345" s="241" customFormat="1"/>
    <row r="346" s="241" customFormat="1"/>
    <row r="347" s="241" customFormat="1"/>
    <row r="348" s="241" customFormat="1"/>
    <row r="349" s="241" customFormat="1"/>
    <row r="350" s="241" customFormat="1"/>
    <row r="351" s="241" customFormat="1"/>
    <row r="352" s="241" customFormat="1"/>
    <row r="353" s="241" customFormat="1"/>
    <row r="354" s="241" customFormat="1"/>
    <row r="355" s="241" customFormat="1"/>
    <row r="356" s="241" customFormat="1"/>
    <row r="357" s="241" customFormat="1"/>
    <row r="358" s="241" customFormat="1"/>
    <row r="359" s="241" customFormat="1"/>
    <row r="360" s="241" customFormat="1"/>
    <row r="361" s="241" customFormat="1"/>
    <row r="362" s="241" customFormat="1"/>
    <row r="363" s="241" customFormat="1"/>
    <row r="364" s="241" customFormat="1"/>
    <row r="365" s="241" customFormat="1"/>
    <row r="366" s="241" customFormat="1"/>
    <row r="367" s="241" customFormat="1"/>
    <row r="368" s="241" customFormat="1"/>
    <row r="369" s="241" customFormat="1"/>
    <row r="370" s="241" customFormat="1"/>
    <row r="371" s="241" customFormat="1"/>
    <row r="372" s="241" customFormat="1"/>
    <row r="373" s="241" customFormat="1"/>
    <row r="374" s="241" customFormat="1"/>
    <row r="375" s="241" customFormat="1"/>
    <row r="376" s="241" customFormat="1"/>
    <row r="377" s="241" customFormat="1"/>
    <row r="378" s="241" customFormat="1"/>
    <row r="379" s="241" customFormat="1"/>
    <row r="380" s="241" customFormat="1"/>
    <row r="381" s="241" customFormat="1"/>
    <row r="382" s="241" customFormat="1"/>
    <row r="383" s="241" customFormat="1"/>
    <row r="384" s="241" customFormat="1"/>
    <row r="385" s="241" customFormat="1"/>
    <row r="386" s="241" customFormat="1"/>
    <row r="387" s="241" customFormat="1"/>
    <row r="388" s="241" customFormat="1"/>
    <row r="389" s="241" customFormat="1"/>
    <row r="390" s="241" customFormat="1"/>
    <row r="391" s="241" customFormat="1"/>
    <row r="392" s="241" customFormat="1"/>
    <row r="393" s="241" customFormat="1"/>
    <row r="394" s="241" customFormat="1"/>
    <row r="395" s="241" customFormat="1"/>
    <row r="396" s="241" customFormat="1"/>
    <row r="397" s="241" customFormat="1"/>
    <row r="398" s="241" customFormat="1"/>
    <row r="399" s="241" customFormat="1"/>
    <row r="400" s="241" customFormat="1"/>
    <row r="401" s="241" customFormat="1"/>
    <row r="402" s="241" customFormat="1"/>
    <row r="403" s="241" customFormat="1"/>
    <row r="404" s="241" customFormat="1"/>
    <row r="405" s="241" customFormat="1"/>
    <row r="406" s="241" customFormat="1"/>
    <row r="407" s="241" customFormat="1"/>
    <row r="408" s="241" customFormat="1"/>
    <row r="409" s="241" customFormat="1"/>
    <row r="410" s="241" customFormat="1"/>
    <row r="411" s="241" customFormat="1"/>
    <row r="412" s="241" customFormat="1"/>
    <row r="413" s="241" customFormat="1"/>
    <row r="414" s="241" customFormat="1"/>
    <row r="415" s="241" customFormat="1"/>
    <row r="416" s="241" customFormat="1"/>
    <row r="417" s="241" customFormat="1"/>
    <row r="418" s="241" customFormat="1"/>
    <row r="419" s="241" customFormat="1"/>
    <row r="420" s="241" customFormat="1"/>
    <row r="421" s="241" customFormat="1"/>
    <row r="422" s="241" customFormat="1"/>
    <row r="423" s="241" customFormat="1"/>
    <row r="424" s="241" customFormat="1"/>
    <row r="425" s="241" customFormat="1"/>
    <row r="426" s="241" customFormat="1"/>
    <row r="427" s="241" customFormat="1"/>
    <row r="428" s="241" customFormat="1"/>
    <row r="429" s="241" customFormat="1"/>
    <row r="430" s="241" customFormat="1"/>
    <row r="431" s="241" customFormat="1"/>
    <row r="432" s="241" customFormat="1"/>
    <row r="433" s="241" customFormat="1"/>
    <row r="434" s="241" customFormat="1"/>
    <row r="435" s="241" customFormat="1"/>
    <row r="436" s="241" customFormat="1"/>
    <row r="437" s="241" customFormat="1"/>
    <row r="438" s="241" customFormat="1"/>
    <row r="439" s="241" customFormat="1"/>
    <row r="440" s="241" customFormat="1"/>
    <row r="441" s="241" customFormat="1"/>
    <row r="442" s="241" customFormat="1"/>
    <row r="443" s="241" customFormat="1"/>
    <row r="444" s="241" customFormat="1"/>
    <row r="445" s="241" customFormat="1"/>
    <row r="446" s="241" customFormat="1"/>
    <row r="447" s="241" customFormat="1"/>
    <row r="448" s="241" customFormat="1"/>
    <row r="449" s="241" customFormat="1"/>
    <row r="450" s="241" customFormat="1"/>
    <row r="451" s="241" customFormat="1"/>
    <row r="452" s="241" customFormat="1"/>
    <row r="453" s="241" customFormat="1"/>
    <row r="454" s="241" customFormat="1"/>
    <row r="455" s="241" customFormat="1"/>
    <row r="456" s="241" customFormat="1"/>
    <row r="457" s="241" customFormat="1"/>
    <row r="458" s="241" customFormat="1"/>
    <row r="459" s="241" customFormat="1"/>
    <row r="460" s="241" customFormat="1"/>
    <row r="461" s="241" customFormat="1"/>
    <row r="462" s="241" customFormat="1"/>
    <row r="463" s="241" customFormat="1"/>
    <row r="464" s="241" customFormat="1"/>
    <row r="465" s="241" customFormat="1"/>
    <row r="466" s="241" customFormat="1"/>
    <row r="467" s="241" customFormat="1"/>
    <row r="468" s="241" customFormat="1"/>
    <row r="469" s="241" customFormat="1"/>
    <row r="470" s="241" customFormat="1"/>
    <row r="471" s="241" customFormat="1"/>
    <row r="472" s="241" customFormat="1"/>
    <row r="473" s="241" customFormat="1"/>
    <row r="474" s="241" customFormat="1"/>
    <row r="475" s="241" customFormat="1"/>
    <row r="476" s="241" customFormat="1"/>
    <row r="477" s="241" customFormat="1"/>
    <row r="478" s="241" customFormat="1"/>
    <row r="479" s="241" customFormat="1"/>
    <row r="480" s="241" customFormat="1"/>
    <row r="481" s="241" customFormat="1"/>
    <row r="482" s="241" customFormat="1"/>
    <row r="483" s="241" customFormat="1"/>
    <row r="484" s="241" customFormat="1"/>
    <row r="485" s="241" customFormat="1"/>
    <row r="486" s="241" customFormat="1"/>
    <row r="487" s="241" customFormat="1"/>
    <row r="488" s="241" customFormat="1"/>
    <row r="489" s="241" customFormat="1"/>
    <row r="490" s="241" customFormat="1"/>
    <row r="491" s="241" customFormat="1"/>
    <row r="492" s="241" customFormat="1"/>
    <row r="493" s="241" customFormat="1"/>
    <row r="494" s="241" customFormat="1"/>
    <row r="495" s="241" customFormat="1"/>
    <row r="496" s="241" customFormat="1"/>
    <row r="497" s="241" customFormat="1"/>
    <row r="498" s="241" customFormat="1"/>
    <row r="499" s="241" customFormat="1"/>
    <row r="500" s="241" customFormat="1"/>
    <row r="501" s="241" customFormat="1"/>
    <row r="502" s="241" customFormat="1"/>
    <row r="503" s="241" customFormat="1"/>
  </sheetData>
  <dataConsolidate/>
  <customSheetViews>
    <customSheetView guid="{25C4E7E7-1006-4A2D-BC83-AEE4ADF8A914}" scale="75" colorId="22" showPageBreaks="1" fitToPage="1" printArea="1" showRuler="0" topLeftCell="A28">
      <selection activeCell="F39" sqref="F39"/>
      <pageMargins left="0.75" right="0.5" top="0.75" bottom="0.5" header="0.5" footer="0.5"/>
      <pageSetup scale="68" orientation="portrait" r:id="rId1"/>
      <headerFooter alignWithMargins="0"/>
    </customSheetView>
    <customSheetView guid="{28F81D13-D146-4D67-8981-BA5D7A496326}" scale="87" colorId="22" showPageBreaks="1" fitToPage="1" printArea="1" showRuler="0" topLeftCell="A37">
      <selection activeCell="C33" sqref="C33"/>
      <pageMargins left="0.5" right="0.5" top="0.5" bottom="0.5" header="0.5" footer="0.5"/>
      <pageSetup scale="77" orientation="portrait" r:id="rId2"/>
      <headerFooter alignWithMargins="0"/>
    </customSheetView>
    <customSheetView guid="{AEA5979F-5357-4ED6-A6CA-1BB80F5C7A74}" scale="87" colorId="22" showPageBreaks="1" fitToPage="1" printArea="1" showRuler="0" topLeftCell="A10">
      <selection activeCell="B28" sqref="B28"/>
      <pageMargins left="0.5" right="0.5" top="0.5" bottom="0.5" header="0.5" footer="0.5"/>
      <pageSetup scale="77" orientation="portrait" r:id="rId3"/>
      <headerFooter alignWithMargins="0"/>
    </customSheetView>
    <customSheetView guid="{EB776EFC-3589-4DB5-BEAF-1E83D9703F9E}" scale="87" colorId="22" fitToPage="1" showRuler="0" topLeftCell="A38">
      <selection activeCell="A59" sqref="A59"/>
      <pageMargins left="0.5" right="0.5" top="0.5" bottom="0.5" header="0.5" footer="0.5"/>
      <pageSetup scale="80" orientation="portrait" r:id="rId4"/>
      <headerFooter alignWithMargins="0"/>
    </customSheetView>
    <customSheetView guid="{FBB4BF8E-8A9F-4E98-A6F9-5F9BF4C55C67}" scale="87" colorId="22" showPageBreaks="1" fitToPage="1" printArea="1" showRuler="0" topLeftCell="A14">
      <selection activeCell="C29" sqref="C29"/>
      <pageMargins left="0.5" right="0.5" top="0.5" bottom="0.5" header="0.5" footer="0.5"/>
      <pageSetup scale="80" orientation="portrait" r:id="rId5"/>
      <headerFooter alignWithMargins="0"/>
    </customSheetView>
    <customSheetView guid="{6EF643BE-69F3-424E-8A44-3890161370D4}" scale="87" colorId="22" showPageBreaks="1" fitToPage="1" printArea="1" showRuler="0" topLeftCell="A40">
      <selection activeCell="D42" sqref="D42"/>
      <pageMargins left="0.5" right="0.5" top="0.5" bottom="0.5" header="0.5" footer="0.5"/>
      <pageSetup scale="77" orientation="portrait" r:id="rId6"/>
      <headerFooter alignWithMargins="0"/>
    </customSheetView>
    <customSheetView guid="{1ECE83C7-A3CE-4F97-BFD3-498FF783C0D9}" scale="75" colorId="22" showPageBreaks="1" fitToPage="1" printArea="1" showRuler="0">
      <selection activeCell="H29" sqref="H29"/>
      <pageMargins left="0.75" right="0.5" top="0.75" bottom="0.5" header="0.5" footer="0.5"/>
      <pageSetup scale="75" orientation="portrait" r:id="rId7"/>
      <headerFooter alignWithMargins="0"/>
    </customSheetView>
    <customSheetView guid="{560D4AFA-61E5-46C3-B0CD-D0EB3053A033}" scale="75" colorId="22" showPageBreaks="1" fitToPage="1" printArea="1" showRuler="0" topLeftCell="A4">
      <selection activeCell="B5" sqref="B5"/>
      <pageMargins left="0.75" right="0.5" top="0.75" bottom="0.5" header="0.5" footer="0.5"/>
      <pageSetup scale="66" orientation="portrait" r:id="rId8"/>
      <headerFooter alignWithMargins="0"/>
    </customSheetView>
  </customSheetViews>
  <mergeCells count="3">
    <mergeCell ref="B117:D117"/>
    <mergeCell ref="B2:C2"/>
    <mergeCell ref="B3:C3"/>
  </mergeCells>
  <phoneticPr fontId="0" type="noConversion"/>
  <dataValidations disablePrompts="1" count="1">
    <dataValidation type="list" allowBlank="1" showInputMessage="1" showErrorMessage="1" sqref="B69:B73 B45:B49 B51:B55 B57:B61 B63:B67">
      <formula1>"Studio, 1BR, 2BR, 3BR, 4BR"</formula1>
    </dataValidation>
  </dataValidations>
  <pageMargins left="0.7" right="0.7" top="0.75" bottom="0.75" header="0.3" footer="0.3"/>
  <pageSetup scale="32" firstPageNumber="209" orientation="landscape" r:id="rId9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118"/>
  <sheetViews>
    <sheetView zoomScale="80" zoomScaleNormal="80" workbookViewId="0">
      <selection activeCell="D49" sqref="D49"/>
    </sheetView>
  </sheetViews>
  <sheetFormatPr defaultColWidth="8.88671875" defaultRowHeight="15"/>
  <cols>
    <col min="1" max="1" width="5.5546875" style="238" customWidth="1"/>
    <col min="2" max="2" width="31.77734375" style="1" customWidth="1"/>
    <col min="3" max="3" width="16.44140625" style="1" customWidth="1"/>
    <col min="4" max="4" width="14.6640625" style="1" customWidth="1"/>
    <col min="5" max="5" width="17.5546875" style="1" customWidth="1"/>
    <col min="6" max="6" width="10.88671875" style="1" customWidth="1"/>
    <col min="7" max="7" width="17.33203125" style="1" bestFit="1" customWidth="1"/>
    <col min="8" max="8" width="3.6640625" style="238" customWidth="1"/>
    <col min="9" max="9" width="12.88671875" style="238" customWidth="1"/>
    <col min="10" max="10" width="8.88671875" style="238"/>
    <col min="11" max="11" width="10.88671875" style="238" bestFit="1" customWidth="1"/>
    <col min="12" max="81" width="8.88671875" style="238"/>
    <col min="82" max="16384" width="8.88671875" style="1"/>
  </cols>
  <sheetData>
    <row r="1" spans="2:7" s="238" customFormat="1"/>
    <row r="2" spans="2:7" s="238" customFormat="1" ht="15.75">
      <c r="B2" s="997" t="str">
        <f>'Sources and Uses'!B1</f>
        <v>Project Site: Insert Site Name</v>
      </c>
      <c r="D2" s="744" t="s">
        <v>70</v>
      </c>
      <c r="E2" s="744">
        <f>'Units &amp; Income'!D16</f>
        <v>0</v>
      </c>
    </row>
    <row r="3" spans="2:7" s="238" customFormat="1" ht="15.75">
      <c r="B3" s="997" t="str">
        <f>'Sources and Uses'!B2</f>
        <v>Development Team: Insert Team Name</v>
      </c>
      <c r="F3" s="744"/>
      <c r="G3" s="744"/>
    </row>
    <row r="4" spans="2:7" s="238" customFormat="1" ht="15.75">
      <c r="B4" s="998"/>
      <c r="F4" s="744"/>
      <c r="G4" s="744"/>
    </row>
    <row r="5" spans="2:7" s="238" customFormat="1" ht="25.5" customHeight="1">
      <c r="B5" s="745" t="s">
        <v>66</v>
      </c>
      <c r="C5" s="241"/>
      <c r="D5" s="241"/>
      <c r="E5" s="241"/>
      <c r="F5" s="746"/>
    </row>
    <row r="6" spans="2:7" ht="15.75">
      <c r="B6" s="303" t="s">
        <v>172</v>
      </c>
      <c r="C6" s="749"/>
      <c r="D6" s="768" t="s">
        <v>49</v>
      </c>
      <c r="E6" s="241"/>
      <c r="F6" s="238"/>
      <c r="G6" s="238"/>
    </row>
    <row r="7" spans="2:7">
      <c r="B7" s="780" t="s">
        <v>173</v>
      </c>
      <c r="C7" s="781">
        <f>Mortgage!C52</f>
        <v>0</v>
      </c>
      <c r="D7" s="782" t="e">
        <f>C7/C9</f>
        <v>#DIV/0!</v>
      </c>
      <c r="E7" s="783"/>
      <c r="F7" s="238"/>
      <c r="G7" s="238"/>
    </row>
    <row r="8" spans="2:7">
      <c r="B8" s="617" t="s">
        <v>174</v>
      </c>
      <c r="C8" s="763">
        <f>'Sources and Uses'!C7</f>
        <v>0</v>
      </c>
      <c r="D8" s="764" t="e">
        <f>C8/C9</f>
        <v>#DIV/0!</v>
      </c>
      <c r="E8" s="405"/>
      <c r="F8" s="238"/>
      <c r="G8" s="238"/>
    </row>
    <row r="9" spans="2:7" ht="15.75">
      <c r="B9" s="784" t="s">
        <v>36</v>
      </c>
      <c r="C9" s="765">
        <f>SUM(C7:C8)</f>
        <v>0</v>
      </c>
      <c r="D9" s="352"/>
      <c r="E9" s="405"/>
      <c r="F9" s="238"/>
      <c r="G9" s="238"/>
    </row>
    <row r="10" spans="2:7" ht="15.75">
      <c r="B10" s="404"/>
      <c r="C10" s="766"/>
      <c r="D10" s="352"/>
      <c r="E10" s="405"/>
      <c r="F10" s="238"/>
      <c r="G10" s="238"/>
    </row>
    <row r="11" spans="2:7" ht="15.75" customHeight="1">
      <c r="B11" s="617" t="s">
        <v>262</v>
      </c>
      <c r="C11" s="767">
        <f>'Sources and Uses'!C19</f>
        <v>0</v>
      </c>
      <c r="D11" s="352">
        <f>'Sources and Uses'!B19</f>
        <v>0</v>
      </c>
      <c r="E11" s="405"/>
      <c r="F11" s="238"/>
      <c r="G11" s="238"/>
    </row>
    <row r="12" spans="2:7" ht="15.75" customHeight="1">
      <c r="B12" s="785" t="s">
        <v>263</v>
      </c>
      <c r="C12" s="786">
        <f>'Sources and Uses'!C20</f>
        <v>0</v>
      </c>
      <c r="D12" s="407">
        <f>'Sources and Uses'!B20</f>
        <v>0</v>
      </c>
      <c r="E12" s="408"/>
      <c r="F12" s="238"/>
      <c r="G12" s="238"/>
    </row>
    <row r="13" spans="2:7" s="238" customFormat="1" ht="15.75">
      <c r="B13" s="338"/>
      <c r="C13" s="241"/>
      <c r="D13" s="241"/>
      <c r="E13" s="241"/>
    </row>
    <row r="14" spans="2:7" ht="15.75">
      <c r="B14" s="787" t="s">
        <v>10</v>
      </c>
      <c r="C14" s="788" t="s">
        <v>51</v>
      </c>
      <c r="D14" s="789" t="s">
        <v>52</v>
      </c>
      <c r="E14" s="241"/>
      <c r="F14" s="238"/>
      <c r="G14" s="238"/>
    </row>
    <row r="15" spans="2:7">
      <c r="B15" s="784" t="s">
        <v>53</v>
      </c>
      <c r="C15" s="761">
        <v>18</v>
      </c>
      <c r="D15" s="790">
        <f>C15/12</f>
        <v>1.5</v>
      </c>
      <c r="E15" s="241"/>
      <c r="F15" s="238"/>
      <c r="G15" s="238"/>
    </row>
    <row r="16" spans="2:7">
      <c r="B16" s="784" t="s">
        <v>54</v>
      </c>
      <c r="C16" s="761">
        <v>6</v>
      </c>
      <c r="D16" s="790">
        <f>C16/12</f>
        <v>0.5</v>
      </c>
      <c r="E16" s="241"/>
      <c r="F16" s="238"/>
      <c r="G16" s="238"/>
    </row>
    <row r="17" spans="2:7">
      <c r="B17" s="791" t="s">
        <v>55</v>
      </c>
      <c r="C17" s="407">
        <f>C15+C16</f>
        <v>24</v>
      </c>
      <c r="D17" s="792">
        <f>C17/12</f>
        <v>2</v>
      </c>
      <c r="E17" s="241"/>
      <c r="F17" s="238"/>
      <c r="G17" s="238"/>
    </row>
    <row r="18" spans="2:7" s="238" customFormat="1">
      <c r="B18" s="749"/>
      <c r="D18" s="241"/>
      <c r="E18" s="241"/>
    </row>
    <row r="19" spans="2:7" ht="15.75">
      <c r="B19" s="3" t="s">
        <v>241</v>
      </c>
      <c r="D19" s="2"/>
      <c r="E19" s="241"/>
      <c r="F19" s="238"/>
      <c r="G19" s="238"/>
    </row>
    <row r="20" spans="2:7">
      <c r="B20" s="793" t="s">
        <v>239</v>
      </c>
      <c r="C20" s="794">
        <v>2.5000000000000001E-2</v>
      </c>
      <c r="D20" s="795" t="s">
        <v>142</v>
      </c>
      <c r="E20" s="769"/>
      <c r="F20" s="238"/>
      <c r="G20" s="238"/>
    </row>
    <row r="21" spans="2:7">
      <c r="B21" s="616" t="s">
        <v>198</v>
      </c>
      <c r="C21" s="605">
        <v>2.5000000000000001E-3</v>
      </c>
      <c r="D21" s="619" t="s">
        <v>111</v>
      </c>
      <c r="E21" s="749"/>
      <c r="F21" s="238"/>
      <c r="G21" s="238"/>
    </row>
    <row r="22" spans="2:7">
      <c r="B22" s="616" t="s">
        <v>198</v>
      </c>
      <c r="C22" s="605">
        <v>0</v>
      </c>
      <c r="D22" s="619"/>
      <c r="E22" s="241"/>
      <c r="F22" s="238"/>
      <c r="G22" s="238"/>
    </row>
    <row r="23" spans="2:7">
      <c r="B23" s="796" t="s">
        <v>148</v>
      </c>
      <c r="C23" s="797">
        <f>SUM(C20:C22)</f>
        <v>2.75E-2</v>
      </c>
      <c r="D23" s="798"/>
      <c r="E23" s="241"/>
      <c r="F23" s="238"/>
      <c r="G23" s="238"/>
    </row>
    <row r="24" spans="2:7">
      <c r="B24" s="136" t="s">
        <v>240</v>
      </c>
      <c r="C24" s="136"/>
      <c r="D24" s="136"/>
      <c r="E24" s="136"/>
      <c r="F24" s="747"/>
      <c r="G24" s="747"/>
    </row>
    <row r="25" spans="2:7" s="238" customFormat="1">
      <c r="B25" s="749"/>
      <c r="D25" s="241"/>
      <c r="E25" s="241"/>
    </row>
    <row r="26" spans="2:7" ht="15.75">
      <c r="B26" s="3" t="s">
        <v>248</v>
      </c>
      <c r="D26" s="241"/>
      <c r="E26" s="241"/>
      <c r="F26" s="238"/>
      <c r="G26" s="238"/>
    </row>
    <row r="27" spans="2:7">
      <c r="B27" s="799" t="s">
        <v>71</v>
      </c>
      <c r="C27" s="800">
        <v>5.0999999999999997E-2</v>
      </c>
      <c r="D27" s="770" t="s">
        <v>417</v>
      </c>
      <c r="E27" s="769"/>
      <c r="F27" s="238"/>
      <c r="G27" s="238"/>
    </row>
    <row r="28" spans="2:7">
      <c r="B28" s="801" t="s">
        <v>72</v>
      </c>
      <c r="C28" s="802">
        <v>2.75E-2</v>
      </c>
      <c r="D28" s="679"/>
      <c r="E28" s="749"/>
      <c r="F28" s="238"/>
      <c r="G28" s="238"/>
    </row>
    <row r="29" spans="2:7">
      <c r="B29" s="618" t="s">
        <v>237</v>
      </c>
      <c r="C29" s="803">
        <v>5.0000000000000001E-3</v>
      </c>
      <c r="D29" s="762"/>
      <c r="E29" s="241"/>
      <c r="F29" s="238"/>
      <c r="G29" s="238"/>
    </row>
    <row r="30" spans="2:7">
      <c r="B30" s="796" t="s">
        <v>238</v>
      </c>
      <c r="C30" s="798">
        <v>5.0000000000000001E-3</v>
      </c>
      <c r="D30" s="762"/>
      <c r="E30" s="241"/>
      <c r="F30" s="238"/>
      <c r="G30" s="238"/>
    </row>
    <row r="31" spans="2:7" s="241" customFormat="1">
      <c r="C31" s="746"/>
      <c r="D31" s="762"/>
    </row>
    <row r="32" spans="2:7" ht="15.75">
      <c r="B32" s="7" t="s">
        <v>392</v>
      </c>
      <c r="C32" s="241"/>
      <c r="D32" s="241"/>
      <c r="E32" s="241"/>
      <c r="F32" s="241"/>
      <c r="G32" s="241"/>
    </row>
    <row r="33" spans="2:8">
      <c r="B33" s="804"/>
      <c r="C33" s="805" t="s">
        <v>172</v>
      </c>
      <c r="D33" s="805" t="s">
        <v>57</v>
      </c>
      <c r="E33" s="805" t="s">
        <v>247</v>
      </c>
      <c r="F33" s="805" t="s">
        <v>10</v>
      </c>
      <c r="G33" s="806" t="s">
        <v>1</v>
      </c>
    </row>
    <row r="34" spans="2:8">
      <c r="B34" s="801" t="s">
        <v>71</v>
      </c>
      <c r="C34" s="771">
        <f>C7</f>
        <v>0</v>
      </c>
      <c r="D34" s="772">
        <f>C27</f>
        <v>5.0999999999999997E-2</v>
      </c>
      <c r="E34" s="773">
        <f>(C34*D34)/12</f>
        <v>0</v>
      </c>
      <c r="F34" s="352">
        <f>C17</f>
        <v>24</v>
      </c>
      <c r="G34" s="807">
        <f>E34*F34</f>
        <v>0</v>
      </c>
    </row>
    <row r="35" spans="2:8">
      <c r="B35" s="801" t="s">
        <v>72</v>
      </c>
      <c r="C35" s="771">
        <f>C8</f>
        <v>0</v>
      </c>
      <c r="D35" s="772">
        <f>C23</f>
        <v>2.75E-2</v>
      </c>
      <c r="E35" s="773">
        <f>(C35*D35)/12</f>
        <v>0</v>
      </c>
      <c r="F35" s="352">
        <f>C17</f>
        <v>24</v>
      </c>
      <c r="G35" s="807">
        <f>E35*F35</f>
        <v>0</v>
      </c>
    </row>
    <row r="36" spans="2:8">
      <c r="B36" s="1102" t="s">
        <v>242</v>
      </c>
      <c r="C36" s="1103"/>
      <c r="D36" s="1103"/>
      <c r="E36" s="1103"/>
      <c r="F36" s="1103"/>
      <c r="G36" s="1104"/>
    </row>
    <row r="37" spans="2:8">
      <c r="B37" s="618" t="s">
        <v>237</v>
      </c>
      <c r="C37" s="767">
        <f>Mortgage!D57</f>
        <v>0</v>
      </c>
      <c r="D37" s="774">
        <f>C29</f>
        <v>5.0000000000000001E-3</v>
      </c>
      <c r="E37" s="773">
        <f>(C37*D37)/12</f>
        <v>0</v>
      </c>
      <c r="F37" s="352">
        <f>C17</f>
        <v>24</v>
      </c>
      <c r="G37" s="808">
        <f>E37*F37</f>
        <v>0</v>
      </c>
    </row>
    <row r="38" spans="2:8">
      <c r="B38" s="796" t="s">
        <v>238</v>
      </c>
      <c r="C38" s="786">
        <f>Mortgage!D68</f>
        <v>0</v>
      </c>
      <c r="D38" s="809">
        <f>C30</f>
        <v>5.0000000000000001E-3</v>
      </c>
      <c r="E38" s="810">
        <f>(C38*D38)/12</f>
        <v>0</v>
      </c>
      <c r="F38" s="407">
        <f>C17</f>
        <v>24</v>
      </c>
      <c r="G38" s="811">
        <f>E38*F38</f>
        <v>0</v>
      </c>
    </row>
    <row r="39" spans="2:8">
      <c r="B39" s="1105" t="s">
        <v>393</v>
      </c>
      <c r="C39" s="1105"/>
      <c r="D39" s="1105"/>
      <c r="E39" s="1105"/>
      <c r="F39" s="1105"/>
      <c r="G39" s="1105"/>
    </row>
    <row r="40" spans="2:8" s="238" customFormat="1"/>
    <row r="41" spans="2:8" ht="15.75">
      <c r="B41" s="738" t="s">
        <v>166</v>
      </c>
      <c r="C41" s="775"/>
      <c r="D41" s="238"/>
      <c r="E41" s="238"/>
      <c r="F41" s="241"/>
      <c r="G41" s="241"/>
      <c r="H41" s="241"/>
    </row>
    <row r="42" spans="2:8">
      <c r="B42" s="804"/>
      <c r="C42" s="812" t="s">
        <v>50</v>
      </c>
      <c r="D42" s="812"/>
      <c r="E42" s="813">
        <f>C9</f>
        <v>0</v>
      </c>
      <c r="F42" s="241"/>
      <c r="G42" s="241"/>
      <c r="H42" s="241"/>
    </row>
    <row r="43" spans="2:8">
      <c r="B43" s="404"/>
      <c r="C43" s="352" t="s">
        <v>67</v>
      </c>
      <c r="D43" s="761">
        <v>60</v>
      </c>
      <c r="E43" s="814">
        <f>(E34+E35)*2</f>
        <v>0</v>
      </c>
      <c r="F43" s="241"/>
      <c r="G43" s="241"/>
      <c r="H43" s="241"/>
    </row>
    <row r="44" spans="2:8" ht="15.75">
      <c r="B44" s="406"/>
      <c r="C44" s="444" t="s">
        <v>68</v>
      </c>
      <c r="D44" s="815"/>
      <c r="E44" s="816">
        <f>E42+E43</f>
        <v>0</v>
      </c>
      <c r="F44" s="241"/>
      <c r="G44" s="241"/>
      <c r="H44" s="241"/>
    </row>
    <row r="45" spans="2:8" s="238" customFormat="1" ht="15.75">
      <c r="B45" s="241"/>
      <c r="C45" s="241"/>
      <c r="D45" s="827"/>
      <c r="E45" s="828"/>
      <c r="F45" s="241"/>
      <c r="G45" s="241"/>
      <c r="H45" s="241"/>
    </row>
    <row r="46" spans="2:8" ht="15.75">
      <c r="B46" s="777" t="s">
        <v>167</v>
      </c>
      <c r="C46" s="778"/>
      <c r="D46" s="238"/>
      <c r="F46" s="241"/>
      <c r="G46" s="241"/>
      <c r="H46" s="241"/>
    </row>
    <row r="47" spans="2:8">
      <c r="B47" s="817"/>
      <c r="C47" s="818" t="s">
        <v>170</v>
      </c>
      <c r="D47" s="837">
        <v>0.01</v>
      </c>
      <c r="E47" s="241"/>
      <c r="F47" s="241"/>
      <c r="G47" s="241"/>
      <c r="H47" s="241"/>
    </row>
    <row r="48" spans="2:8">
      <c r="B48" s="819"/>
      <c r="C48" s="820" t="s">
        <v>171</v>
      </c>
      <c r="D48" s="838">
        <v>1.0999999999999999E-2</v>
      </c>
      <c r="E48" s="241"/>
      <c r="F48" s="241"/>
      <c r="G48" s="241"/>
      <c r="H48" s="241"/>
    </row>
    <row r="49" spans="2:8" s="238" customFormat="1" ht="21" customHeight="1">
      <c r="B49" s="746"/>
      <c r="E49" s="241"/>
      <c r="F49" s="241"/>
      <c r="G49" s="241"/>
      <c r="H49" s="241"/>
    </row>
    <row r="50" spans="2:8" ht="15.75">
      <c r="B50" s="779" t="s">
        <v>168</v>
      </c>
      <c r="C50" s="238"/>
      <c r="D50" s="719" t="s">
        <v>51</v>
      </c>
      <c r="E50" s="241"/>
      <c r="F50" s="241"/>
      <c r="G50" s="241"/>
      <c r="H50" s="241"/>
    </row>
    <row r="51" spans="2:8">
      <c r="B51" s="817"/>
      <c r="C51" s="821" t="s">
        <v>169</v>
      </c>
      <c r="D51" s="822"/>
      <c r="E51" s="241"/>
      <c r="F51" s="241"/>
      <c r="G51" s="241"/>
      <c r="H51" s="241"/>
    </row>
    <row r="52" spans="2:8">
      <c r="B52" s="823"/>
      <c r="C52" s="776" t="s">
        <v>243</v>
      </c>
      <c r="D52" s="824">
        <v>24</v>
      </c>
      <c r="E52" s="332" t="s">
        <v>245</v>
      </c>
      <c r="F52" s="241"/>
      <c r="G52" s="241"/>
      <c r="H52" s="241"/>
    </row>
    <row r="53" spans="2:8">
      <c r="B53" s="825"/>
      <c r="C53" s="820" t="s">
        <v>244</v>
      </c>
      <c r="D53" s="826"/>
      <c r="E53" s="332" t="s">
        <v>246</v>
      </c>
      <c r="F53" s="241"/>
      <c r="G53" s="241"/>
      <c r="H53" s="241"/>
    </row>
    <row r="54" spans="2:8" s="238" customFormat="1">
      <c r="B54" s="749"/>
      <c r="D54" s="241"/>
      <c r="E54" s="241"/>
      <c r="F54" s="748"/>
    </row>
    <row r="55" spans="2:8" s="238" customFormat="1" ht="15.75">
      <c r="B55" s="303"/>
      <c r="C55" s="241"/>
    </row>
    <row r="56" spans="2:8" s="238" customFormat="1" ht="15.75">
      <c r="B56" s="303"/>
      <c r="C56" s="241"/>
    </row>
    <row r="57" spans="2:8" s="238" customFormat="1" ht="15.75">
      <c r="E57" s="738"/>
    </row>
    <row r="58" spans="2:8" s="238" customFormat="1"/>
    <row r="59" spans="2:8" s="238" customFormat="1"/>
    <row r="60" spans="2:8" s="238" customFormat="1"/>
    <row r="61" spans="2:8" s="238" customFormat="1"/>
    <row r="62" spans="2:8" s="238" customFormat="1">
      <c r="B62" s="241"/>
      <c r="C62" s="750"/>
    </row>
    <row r="63" spans="2:8" s="238" customFormat="1">
      <c r="B63" s="241"/>
      <c r="C63" s="751"/>
    </row>
    <row r="64" spans="2:8" s="238" customFormat="1">
      <c r="B64" s="241"/>
      <c r="C64" s="241"/>
    </row>
    <row r="65" spans="2:3" s="238" customFormat="1">
      <c r="B65" s="241"/>
      <c r="C65" s="241"/>
    </row>
    <row r="66" spans="2:3" s="238" customFormat="1">
      <c r="B66" s="241"/>
      <c r="C66" s="752"/>
    </row>
    <row r="67" spans="2:3" s="238" customFormat="1">
      <c r="B67" s="241"/>
      <c r="C67" s="752"/>
    </row>
    <row r="68" spans="2:3" s="238" customFormat="1">
      <c r="B68" s="241"/>
      <c r="C68" s="752"/>
    </row>
    <row r="69" spans="2:3" s="238" customFormat="1"/>
    <row r="70" spans="2:3" s="238" customFormat="1"/>
    <row r="71" spans="2:3" s="238" customFormat="1"/>
    <row r="72" spans="2:3" s="238" customFormat="1"/>
    <row r="73" spans="2:3" s="238" customFormat="1">
      <c r="B73" s="241"/>
      <c r="C73" s="250"/>
    </row>
    <row r="74" spans="2:3" s="238" customFormat="1">
      <c r="B74" s="241"/>
      <c r="C74" s="753"/>
    </row>
    <row r="75" spans="2:3" s="238" customFormat="1">
      <c r="B75" s="241"/>
      <c r="C75" s="754"/>
    </row>
    <row r="76" spans="2:3" s="238" customFormat="1">
      <c r="B76" s="241"/>
    </row>
    <row r="77" spans="2:3" s="238" customFormat="1"/>
    <row r="78" spans="2:3" s="238" customFormat="1">
      <c r="C78" s="252"/>
    </row>
    <row r="79" spans="2:3" s="238" customFormat="1"/>
    <row r="80" spans="2:3" s="238" customFormat="1">
      <c r="C80" s="755"/>
    </row>
    <row r="81" spans="2:3" s="238" customFormat="1"/>
    <row r="82" spans="2:3" s="238" customFormat="1"/>
    <row r="83" spans="2:3" s="238" customFormat="1" ht="15.75">
      <c r="B83" s="738"/>
      <c r="C83" s="756"/>
    </row>
    <row r="84" spans="2:3" s="238" customFormat="1"/>
    <row r="85" spans="2:3" s="238" customFormat="1"/>
    <row r="86" spans="2:3" s="238" customFormat="1"/>
    <row r="87" spans="2:3" s="238" customFormat="1"/>
    <row r="88" spans="2:3" s="238" customFormat="1"/>
    <row r="89" spans="2:3" s="238" customFormat="1"/>
    <row r="90" spans="2:3" s="238" customFormat="1"/>
    <row r="91" spans="2:3" s="238" customFormat="1"/>
    <row r="92" spans="2:3" s="238" customFormat="1"/>
    <row r="93" spans="2:3" s="238" customFormat="1"/>
    <row r="94" spans="2:3" s="238" customFormat="1"/>
    <row r="95" spans="2:3" s="238" customFormat="1"/>
    <row r="96" spans="2:3" s="238" customFormat="1"/>
    <row r="97" s="238" customFormat="1"/>
    <row r="98" s="238" customFormat="1"/>
    <row r="99" s="238" customFormat="1"/>
    <row r="100" s="238" customFormat="1"/>
    <row r="101" s="238" customFormat="1"/>
    <row r="102" s="238" customFormat="1"/>
    <row r="103" s="238" customFormat="1"/>
    <row r="104" s="238" customFormat="1"/>
    <row r="105" s="238" customFormat="1"/>
    <row r="106" s="238" customFormat="1"/>
    <row r="107" s="238" customFormat="1"/>
    <row r="108" s="238" customFormat="1"/>
    <row r="109" s="238" customFormat="1"/>
    <row r="110" s="238" customFormat="1"/>
    <row r="111" s="238" customFormat="1"/>
    <row r="112" s="238" customFormat="1"/>
    <row r="113" s="238" customFormat="1"/>
    <row r="114" s="238" customFormat="1"/>
    <row r="115" s="238" customFormat="1"/>
    <row r="116" s="238" customFormat="1"/>
    <row r="117" s="238" customFormat="1"/>
    <row r="118" s="238" customFormat="1"/>
  </sheetData>
  <dataConsolidate/>
  <customSheetViews>
    <customSheetView guid="{25C4E7E7-1006-4A2D-BC83-AEE4ADF8A914}" scale="75" showPageBreaks="1" fitToPage="1" printArea="1" hiddenRows="1" showRuler="0" topLeftCell="A7">
      <selection activeCell="C18" sqref="C18"/>
      <pageMargins left="0.75" right="0.5" top="0.75" bottom="0.5" header="0.5" footer="0.5"/>
      <pageSetup scale="77" orientation="portrait" r:id="rId1"/>
      <headerFooter alignWithMargins="0"/>
    </customSheetView>
    <customSheetView guid="{28F81D13-D146-4D67-8981-BA5D7A496326}" scale="60" showPageBreaks="1" fitToPage="1" printArea="1" hiddenRows="1" view="pageBreakPreview" showRuler="0" topLeftCell="A4">
      <selection activeCell="E41" sqref="E41"/>
      <pageMargins left="0.75" right="0.75" top="1" bottom="1" header="0.5" footer="0.5"/>
      <pageSetup scale="60" orientation="portrait" r:id="rId2"/>
      <headerFooter alignWithMargins="0"/>
    </customSheetView>
    <customSheetView guid="{AEA5979F-5357-4ED6-A6CA-1BB80F5C7A74}" scale="60" showPageBreaks="1" fitToPage="1" printArea="1" hiddenRows="1" view="pageBreakPreview" showRuler="0">
      <selection activeCell="B25" sqref="B25"/>
      <pageMargins left="0.75" right="0.75" top="1" bottom="1" header="0.5" footer="0.5"/>
      <pageSetup scale="62" orientation="portrait" r:id="rId3"/>
      <headerFooter alignWithMargins="0"/>
    </customSheetView>
    <customSheetView guid="{EB776EFC-3589-4DB5-BEAF-1E83D9703F9E}" scale="75" fitToPage="1" hiddenRows="1" hiddenColumns="1" showRuler="0" topLeftCell="A17">
      <selection activeCell="J41" sqref="J41"/>
      <pageMargins left="0.75" right="0.75" top="1" bottom="1" header="0.5" footer="0.5"/>
      <pageSetup scale="93" orientation="portrait" r:id="rId4"/>
      <headerFooter alignWithMargins="0"/>
    </customSheetView>
    <customSheetView guid="{FBB4BF8E-8A9F-4E98-A6F9-5F9BF4C55C67}" scale="75" showPageBreaks="1" fitToPage="1" hiddenRows="1" hiddenColumns="1" showRuler="0" topLeftCell="A14">
      <selection activeCell="B42" sqref="B42"/>
      <pageMargins left="0.75" right="0.75" top="1" bottom="1" header="0.5" footer="0.5"/>
      <pageSetup scale="70" orientation="portrait" r:id="rId5"/>
      <headerFooter alignWithMargins="0"/>
    </customSheetView>
    <customSheetView guid="{6EF643BE-69F3-424E-8A44-3890161370D4}" scale="60" showPageBreaks="1" fitToPage="1" printArea="1" hiddenRows="1" view="pageBreakPreview" showRuler="0" topLeftCell="A13">
      <selection activeCell="E40" sqref="E40"/>
      <pageMargins left="0.75" right="0.75" top="1" bottom="1" header="0.5" footer="0.5"/>
      <pageSetup scale="60" orientation="portrait" r:id="rId6"/>
      <headerFooter alignWithMargins="0"/>
    </customSheetView>
    <customSheetView guid="{1ECE83C7-A3CE-4F97-BFD3-498FF783C0D9}" scale="75" showPageBreaks="1" fitToPage="1" printArea="1" showRuler="0" topLeftCell="A28">
      <selection activeCell="H29" sqref="H29"/>
      <pageMargins left="0.75" right="0.5" top="0.75" bottom="0.5" header="0.5" footer="0.5"/>
      <pageSetup scale="66" orientation="portrait" r:id="rId7"/>
      <headerFooter alignWithMargins="0"/>
    </customSheetView>
    <customSheetView guid="{560D4AFA-61E5-46C3-B0CD-D0EB3053A033}" scale="75" showPageBreaks="1" fitToPage="1" printArea="1" hiddenRows="1" showRuler="0">
      <selection activeCell="C18" sqref="C18"/>
      <pageMargins left="0.75" right="0.5" top="0.75" bottom="0.5" header="0.5" footer="0.5"/>
      <pageSetup scale="77" orientation="portrait" r:id="rId8"/>
      <headerFooter alignWithMargins="0"/>
    </customSheetView>
  </customSheetViews>
  <mergeCells count="2">
    <mergeCell ref="B36:G36"/>
    <mergeCell ref="B39:G39"/>
  </mergeCells>
  <phoneticPr fontId="0" type="noConversion"/>
  <pageMargins left="0.75" right="0.5" top="0.75" bottom="0.5" header="0.5" footer="0.5"/>
  <pageSetup scale="71" firstPageNumber="208" orientation="portrait" useFirstPageNumber="1" r:id="rId9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M56"/>
  <sheetViews>
    <sheetView showGridLines="0" zoomScale="80" zoomScaleNormal="80" zoomScaleSheetLayoutView="80" workbookViewId="0">
      <selection activeCell="E31" sqref="E31"/>
    </sheetView>
  </sheetViews>
  <sheetFormatPr defaultRowHeight="15"/>
  <cols>
    <col min="1" max="1" width="4.88671875" style="477" customWidth="1"/>
    <col min="2" max="2" width="44.33203125" style="9" bestFit="1" customWidth="1"/>
    <col min="3" max="3" width="15.5546875" style="9" customWidth="1"/>
    <col min="4" max="4" width="11.44140625" style="9" customWidth="1"/>
    <col min="5" max="5" width="11.6640625" style="9" customWidth="1"/>
    <col min="6" max="6" width="15.5546875" style="9" customWidth="1"/>
    <col min="7" max="7" width="8.88671875" style="9"/>
    <col min="8" max="9" width="15.5546875" style="477" customWidth="1"/>
    <col min="10" max="10" width="16.109375" style="9" hidden="1" customWidth="1"/>
    <col min="11" max="11" width="11.44140625" style="9" hidden="1" customWidth="1"/>
    <col min="12" max="12" width="5" style="9" hidden="1" customWidth="1"/>
    <col min="13" max="16384" width="8.88671875" style="9"/>
  </cols>
  <sheetData>
    <row r="2" spans="1:13" s="283" customFormat="1" ht="15.75">
      <c r="B2" s="999" t="str">
        <f>'Sources and Uses'!B1</f>
        <v>Project Site: Insert Site Name</v>
      </c>
      <c r="C2" s="279"/>
      <c r="F2" s="466" t="s">
        <v>18</v>
      </c>
      <c r="G2" s="465">
        <f>'Units &amp; Income'!D16</f>
        <v>0</v>
      </c>
      <c r="J2" s="464"/>
    </row>
    <row r="3" spans="1:13" s="283" customFormat="1">
      <c r="B3" s="999" t="str">
        <f>'Sources and Uses'!B2</f>
        <v>Development Team: Insert Team Name</v>
      </c>
      <c r="C3" s="279"/>
      <c r="F3" s="466" t="s">
        <v>19</v>
      </c>
      <c r="G3" s="468">
        <f>'Units &amp; Income'!F16</f>
        <v>0</v>
      </c>
      <c r="J3" s="467"/>
    </row>
    <row r="4" spans="1:13" s="283" customFormat="1">
      <c r="B4" s="998"/>
      <c r="C4" s="279"/>
      <c r="F4" s="691"/>
      <c r="G4" s="1000"/>
      <c r="J4" s="467"/>
    </row>
    <row r="5" spans="1:13" s="283" customFormat="1" ht="15.75">
      <c r="B5" s="478" t="s">
        <v>48</v>
      </c>
      <c r="C5" s="279"/>
      <c r="J5" s="467"/>
    </row>
    <row r="6" spans="1:13" s="236" customFormat="1" ht="15" customHeight="1">
      <c r="A6" s="478"/>
      <c r="B6" s="478"/>
      <c r="C6" s="478"/>
      <c r="D6" s="478"/>
      <c r="E6" s="478"/>
      <c r="F6" s="478"/>
      <c r="H6" s="666"/>
      <c r="I6" s="478"/>
      <c r="J6" s="585"/>
      <c r="K6" s="585"/>
      <c r="L6" s="586"/>
    </row>
    <row r="7" spans="1:13" s="473" customFormat="1" ht="54.75" customHeight="1">
      <c r="B7" s="547" t="s">
        <v>137</v>
      </c>
      <c r="C7" s="548" t="s">
        <v>115</v>
      </c>
      <c r="D7" s="549" t="s">
        <v>117</v>
      </c>
      <c r="E7" s="550" t="s">
        <v>276</v>
      </c>
      <c r="F7" s="551" t="s">
        <v>331</v>
      </c>
      <c r="H7" s="676" t="s">
        <v>115</v>
      </c>
      <c r="I7" s="551" t="s">
        <v>399</v>
      </c>
      <c r="J7" s="469" t="s">
        <v>303</v>
      </c>
      <c r="K7" s="470" t="s">
        <v>117</v>
      </c>
      <c r="L7" s="471" t="s">
        <v>276</v>
      </c>
      <c r="M7" s="472"/>
    </row>
    <row r="8" spans="1:13" ht="15.75">
      <c r="A8" s="474"/>
      <c r="B8" s="552" t="s">
        <v>118</v>
      </c>
      <c r="C8" s="12"/>
      <c r="D8" s="13"/>
      <c r="E8" s="13"/>
      <c r="F8" s="553"/>
      <c r="H8" s="667"/>
      <c r="I8" s="576"/>
      <c r="J8" s="508"/>
      <c r="K8" s="206"/>
      <c r="L8" s="217"/>
      <c r="M8" s="11"/>
    </row>
    <row r="9" spans="1:13" ht="15.75">
      <c r="A9" s="474"/>
      <c r="B9" s="554" t="s">
        <v>119</v>
      </c>
      <c r="C9" s="512" t="s">
        <v>120</v>
      </c>
      <c r="D9" s="511" t="e">
        <f>F9/$G$2</f>
        <v>#DIV/0!</v>
      </c>
      <c r="E9" s="511" t="e">
        <f>F9/$G$3</f>
        <v>#DIV/0!</v>
      </c>
      <c r="F9" s="555">
        <v>0</v>
      </c>
      <c r="H9" s="668" t="s">
        <v>120</v>
      </c>
      <c r="I9" s="577">
        <v>0</v>
      </c>
      <c r="J9" s="504">
        <v>0</v>
      </c>
      <c r="K9" s="207" t="e">
        <f>J9/$G$2</f>
        <v>#DIV/0!</v>
      </c>
      <c r="L9" s="218" t="e">
        <f>J9/$G$3</f>
        <v>#DIV/0!</v>
      </c>
      <c r="M9" s="11"/>
    </row>
    <row r="10" spans="1:13" ht="15.75">
      <c r="A10" s="474"/>
      <c r="B10" s="554" t="s">
        <v>338</v>
      </c>
      <c r="C10" s="512" t="s">
        <v>120</v>
      </c>
      <c r="D10" s="511" t="e">
        <f>F10/$G$2</f>
        <v>#DIV/0!</v>
      </c>
      <c r="E10" s="511" t="e">
        <f>F10/$G$3</f>
        <v>#DIV/0!</v>
      </c>
      <c r="F10" s="555">
        <v>0</v>
      </c>
      <c r="H10" s="668" t="s">
        <v>330</v>
      </c>
      <c r="I10" s="577">
        <v>600</v>
      </c>
      <c r="J10" s="504" t="e">
        <f>D10</f>
        <v>#DIV/0!</v>
      </c>
      <c r="K10" s="207" t="e">
        <f>J10/$G$2</f>
        <v>#DIV/0!</v>
      </c>
      <c r="L10" s="218" t="e">
        <f>J10/$G$3</f>
        <v>#DIV/0!</v>
      </c>
      <c r="M10" s="11"/>
    </row>
    <row r="11" spans="1:13" ht="18.75" customHeight="1">
      <c r="A11" s="474"/>
      <c r="B11" s="556" t="s">
        <v>339</v>
      </c>
      <c r="C11" s="513"/>
      <c r="D11" s="510" t="e">
        <f>SUM(D9:D10)</f>
        <v>#DIV/0!</v>
      </c>
      <c r="E11" s="510" t="e">
        <f>SUM(E9:E10)</f>
        <v>#DIV/0!</v>
      </c>
      <c r="F11" s="557">
        <f>SUM(F9:F10)</f>
        <v>0</v>
      </c>
      <c r="H11" s="669"/>
      <c r="I11" s="561"/>
      <c r="J11" s="509" t="e">
        <f>SUM(J9:J10)</f>
        <v>#DIV/0!</v>
      </c>
      <c r="K11" s="208" t="e">
        <f>SUM(K9:K10)</f>
        <v>#DIV/0!</v>
      </c>
      <c r="L11" s="219" t="e">
        <f>SUM(L9:L10)</f>
        <v>#DIV/0!</v>
      </c>
      <c r="M11" s="11"/>
    </row>
    <row r="12" spans="1:13" ht="15.75">
      <c r="A12" s="474"/>
      <c r="B12" s="558" t="s">
        <v>121</v>
      </c>
      <c r="C12" s="12"/>
      <c r="D12" s="79"/>
      <c r="E12" s="79"/>
      <c r="F12" s="557"/>
      <c r="H12" s="667"/>
      <c r="I12" s="561"/>
      <c r="J12" s="504"/>
      <c r="K12" s="209"/>
      <c r="L12" s="220"/>
      <c r="M12" s="11"/>
    </row>
    <row r="13" spans="1:13" ht="15.75">
      <c r="A13" s="474"/>
      <c r="B13" s="554" t="s">
        <v>382</v>
      </c>
      <c r="C13" s="512" t="s">
        <v>120</v>
      </c>
      <c r="D13" s="511" t="e">
        <f>F13/$G$2</f>
        <v>#DIV/0!</v>
      </c>
      <c r="E13" s="511" t="e">
        <f>F13/$G$3</f>
        <v>#DIV/0!</v>
      </c>
      <c r="F13" s="555">
        <v>0</v>
      </c>
      <c r="H13" s="668" t="s">
        <v>120</v>
      </c>
      <c r="I13" s="577">
        <v>16000</v>
      </c>
      <c r="J13" s="504">
        <v>0</v>
      </c>
      <c r="K13" s="210" t="e">
        <f>J13/$G$2</f>
        <v>#DIV/0!</v>
      </c>
      <c r="L13" s="221" t="e">
        <f>J13/$G$3</f>
        <v>#DIV/0!</v>
      </c>
      <c r="M13" s="11"/>
    </row>
    <row r="14" spans="1:13" ht="15.75">
      <c r="A14" s="474"/>
      <c r="B14" s="554" t="s">
        <v>391</v>
      </c>
      <c r="C14" s="512" t="s">
        <v>120</v>
      </c>
      <c r="D14" s="511" t="e">
        <f>F14/$G$2</f>
        <v>#DIV/0!</v>
      </c>
      <c r="E14" s="511" t="e">
        <f>F14/$G$3</f>
        <v>#DIV/0!</v>
      </c>
      <c r="F14" s="555">
        <v>0</v>
      </c>
      <c r="H14" s="668" t="s">
        <v>120</v>
      </c>
      <c r="I14" s="577">
        <v>495</v>
      </c>
      <c r="J14" s="504"/>
      <c r="K14" s="210"/>
      <c r="L14" s="221"/>
      <c r="M14" s="11"/>
    </row>
    <row r="15" spans="1:13" ht="15.75">
      <c r="A15" s="474"/>
      <c r="B15" s="554" t="s">
        <v>381</v>
      </c>
      <c r="C15" s="512" t="s">
        <v>120</v>
      </c>
      <c r="D15" s="511" t="e">
        <f>F15/$G$2</f>
        <v>#DIV/0!</v>
      </c>
      <c r="E15" s="511" t="e">
        <f>F15/$G$3</f>
        <v>#DIV/0!</v>
      </c>
      <c r="F15" s="555">
        <v>0</v>
      </c>
      <c r="H15" s="668" t="s">
        <v>330</v>
      </c>
      <c r="I15" s="577">
        <v>150</v>
      </c>
      <c r="J15" s="504" t="e">
        <f>D15</f>
        <v>#DIV/0!</v>
      </c>
      <c r="K15" s="210" t="e">
        <f>J15/$G$2</f>
        <v>#DIV/0!</v>
      </c>
      <c r="L15" s="221" t="e">
        <f>J15/$G$3</f>
        <v>#DIV/0!</v>
      </c>
      <c r="M15" s="11"/>
    </row>
    <row r="16" spans="1:13" ht="19.5" customHeight="1">
      <c r="A16" s="474"/>
      <c r="B16" s="556" t="s">
        <v>390</v>
      </c>
      <c r="C16" s="78"/>
      <c r="D16" s="510" t="e">
        <f>SUM(D13:D15)</f>
        <v>#DIV/0!</v>
      </c>
      <c r="E16" s="510" t="e">
        <f>SUM(E13:E15)</f>
        <v>#DIV/0!</v>
      </c>
      <c r="F16" s="557">
        <f>SUM(F13:F15)</f>
        <v>0</v>
      </c>
      <c r="H16" s="670"/>
      <c r="I16" s="561"/>
      <c r="J16" s="509" t="e">
        <f>SUM(J13:J15)</f>
        <v>#DIV/0!</v>
      </c>
      <c r="K16" s="208" t="e">
        <f>SUM(K13:K15)</f>
        <v>#DIV/0!</v>
      </c>
      <c r="L16" s="219" t="e">
        <f>SUM(L13:L15)</f>
        <v>#DIV/0!</v>
      </c>
      <c r="M16" s="11"/>
    </row>
    <row r="17" spans="1:13" ht="19.5" customHeight="1">
      <c r="A17" s="474"/>
      <c r="B17" s="968"/>
      <c r="C17" s="78"/>
      <c r="D17" s="510"/>
      <c r="E17" s="510"/>
      <c r="F17" s="557"/>
      <c r="H17" s="670"/>
      <c r="I17" s="561"/>
      <c r="J17" s="509"/>
      <c r="K17" s="208"/>
      <c r="L17" s="219"/>
      <c r="M17" s="11"/>
    </row>
    <row r="18" spans="1:13" ht="18.75" customHeight="1">
      <c r="A18" s="474"/>
      <c r="B18" s="559" t="s">
        <v>341</v>
      </c>
      <c r="C18" s="512" t="s">
        <v>120</v>
      </c>
      <c r="D18" s="515" t="e">
        <f>F18/$G$2</f>
        <v>#DIV/0!</v>
      </c>
      <c r="E18" s="515" t="e">
        <f>F18/$G$3</f>
        <v>#DIV/0!</v>
      </c>
      <c r="F18" s="560">
        <v>0</v>
      </c>
      <c r="G18" s="205" t="e">
        <f>F18/Mortgage!E13</f>
        <v>#DIV/0!</v>
      </c>
      <c r="H18" s="668" t="s">
        <v>122</v>
      </c>
      <c r="I18" s="983">
        <v>0.06</v>
      </c>
      <c r="J18" s="509" t="e">
        <f>D18</f>
        <v>#DIV/0!</v>
      </c>
      <c r="K18" s="211" t="e">
        <f>N18/$G$2</f>
        <v>#DIV/0!</v>
      </c>
      <c r="L18" s="222" t="e">
        <f>N18/$G$3</f>
        <v>#DIV/0!</v>
      </c>
    </row>
    <row r="19" spans="1:13" ht="18.75" customHeight="1">
      <c r="A19" s="474"/>
      <c r="B19" s="556"/>
      <c r="C19" s="516"/>
      <c r="D19" s="517"/>
      <c r="E19" s="517"/>
      <c r="F19" s="561"/>
      <c r="H19" s="671"/>
      <c r="I19" s="561"/>
      <c r="J19" s="518"/>
      <c r="K19" s="519"/>
      <c r="L19" s="520"/>
      <c r="M19" s="521"/>
    </row>
    <row r="20" spans="1:13" ht="15.75">
      <c r="A20" s="474"/>
      <c r="B20" s="558" t="s">
        <v>14</v>
      </c>
      <c r="C20" s="12"/>
      <c r="D20" s="79"/>
      <c r="E20" s="79"/>
      <c r="F20" s="557"/>
      <c r="H20" s="667"/>
      <c r="I20" s="561"/>
      <c r="J20" s="504"/>
      <c r="K20" s="209"/>
      <c r="L20" s="220"/>
      <c r="M20" s="11"/>
    </row>
    <row r="21" spans="1:13" ht="15.75">
      <c r="A21" s="474"/>
      <c r="B21" s="554" t="s">
        <v>334</v>
      </c>
      <c r="C21" s="512" t="s">
        <v>120</v>
      </c>
      <c r="D21" s="511" t="e">
        <f>F21/$G$2</f>
        <v>#DIV/0!</v>
      </c>
      <c r="E21" s="511" t="e">
        <f>F21/$G$3</f>
        <v>#DIV/0!</v>
      </c>
      <c r="F21" s="555">
        <v>0</v>
      </c>
      <c r="H21" s="668" t="s">
        <v>333</v>
      </c>
      <c r="I21" s="577">
        <v>300</v>
      </c>
      <c r="J21" s="504">
        <v>0</v>
      </c>
      <c r="K21" s="210" t="e">
        <f>J21/$G$2</f>
        <v>#DIV/0!</v>
      </c>
      <c r="L21" s="221" t="e">
        <f>J21/$G$3</f>
        <v>#DIV/0!</v>
      </c>
      <c r="M21" s="11"/>
    </row>
    <row r="22" spans="1:13" ht="15.75">
      <c r="A22" s="474"/>
      <c r="B22" s="554" t="s">
        <v>343</v>
      </c>
      <c r="C22" s="512" t="s">
        <v>120</v>
      </c>
      <c r="D22" s="511" t="e">
        <f>F22/$G$2</f>
        <v>#DIV/0!</v>
      </c>
      <c r="E22" s="511" t="e">
        <f>F22/$G$3</f>
        <v>#DIV/0!</v>
      </c>
      <c r="F22" s="555">
        <v>0</v>
      </c>
      <c r="H22" s="668" t="s">
        <v>333</v>
      </c>
      <c r="I22" s="577">
        <v>164</v>
      </c>
      <c r="J22" s="504" t="e">
        <f>D22</f>
        <v>#DIV/0!</v>
      </c>
      <c r="K22" s="210" t="e">
        <f>J22/$G$2</f>
        <v>#DIV/0!</v>
      </c>
      <c r="L22" s="221" t="e">
        <f>J22/$G$3</f>
        <v>#DIV/0!</v>
      </c>
      <c r="M22" s="11"/>
    </row>
    <row r="23" spans="1:13" ht="15.75">
      <c r="A23" s="474"/>
      <c r="B23" s="554" t="s">
        <v>139</v>
      </c>
      <c r="C23" s="512" t="s">
        <v>120</v>
      </c>
      <c r="D23" s="511" t="e">
        <f>F23/$G$2</f>
        <v>#DIV/0!</v>
      </c>
      <c r="E23" s="511" t="e">
        <f>F23/$G$3</f>
        <v>#DIV/0!</v>
      </c>
      <c r="F23" s="555">
        <v>0</v>
      </c>
      <c r="H23" s="668" t="s">
        <v>333</v>
      </c>
      <c r="I23" s="577">
        <v>273</v>
      </c>
      <c r="J23" s="504" t="e">
        <f>D23</f>
        <v>#DIV/0!</v>
      </c>
      <c r="K23" s="210" t="e">
        <f>J23/$G$2</f>
        <v>#DIV/0!</v>
      </c>
      <c r="L23" s="221" t="e">
        <f>J23/$G$3</f>
        <v>#DIV/0!</v>
      </c>
      <c r="M23" s="11"/>
    </row>
    <row r="24" spans="1:13" ht="15.75">
      <c r="A24" s="474"/>
      <c r="B24" s="556" t="s">
        <v>340</v>
      </c>
      <c r="C24" s="514"/>
      <c r="D24" s="510" t="e">
        <f>SUM(D21:D23)</f>
        <v>#DIV/0!</v>
      </c>
      <c r="E24" s="510" t="e">
        <f>SUM(E21:E23)</f>
        <v>#DIV/0!</v>
      </c>
      <c r="F24" s="557">
        <f>SUM(F21:F23)</f>
        <v>0</v>
      </c>
      <c r="H24" s="672"/>
      <c r="I24" s="561"/>
      <c r="J24" s="509" t="e">
        <f>SUM(J21:J23)</f>
        <v>#DIV/0!</v>
      </c>
      <c r="K24" s="208" t="e">
        <f>SUM(K21:K23)</f>
        <v>#DIV/0!</v>
      </c>
      <c r="L24" s="219" t="e">
        <f>SUM(L21:L23)</f>
        <v>#DIV/0!</v>
      </c>
      <c r="M24" s="11"/>
    </row>
    <row r="25" spans="1:13" ht="15.75">
      <c r="A25" s="474"/>
      <c r="B25" s="558" t="s">
        <v>123</v>
      </c>
      <c r="C25" s="12"/>
      <c r="D25" s="79"/>
      <c r="E25" s="79"/>
      <c r="F25" s="557"/>
      <c r="H25" s="667"/>
      <c r="I25" s="561"/>
      <c r="J25" s="504"/>
      <c r="K25" s="209"/>
      <c r="L25" s="220"/>
      <c r="M25" s="11"/>
    </row>
    <row r="26" spans="1:13" ht="15.75">
      <c r="A26" s="474"/>
      <c r="B26" s="554" t="s">
        <v>332</v>
      </c>
      <c r="C26" s="512" t="s">
        <v>120</v>
      </c>
      <c r="D26" s="511" t="e">
        <f>F26/$G$2</f>
        <v>#DIV/0!</v>
      </c>
      <c r="E26" s="511" t="e">
        <f>F26/$G$3</f>
        <v>#DIV/0!</v>
      </c>
      <c r="F26" s="555">
        <v>0</v>
      </c>
      <c r="H26" s="668" t="s">
        <v>333</v>
      </c>
      <c r="I26" s="577">
        <v>125</v>
      </c>
      <c r="J26" s="504">
        <v>0</v>
      </c>
      <c r="K26" s="210" t="e">
        <f>J26/$G$2</f>
        <v>#DIV/0!</v>
      </c>
      <c r="L26" s="221" t="e">
        <f>J26/$G$3</f>
        <v>#DIV/0!</v>
      </c>
      <c r="M26" s="11"/>
    </row>
    <row r="27" spans="1:13" ht="15.75">
      <c r="A27" s="474"/>
      <c r="B27" s="554" t="s">
        <v>380</v>
      </c>
      <c r="C27" s="512" t="s">
        <v>120</v>
      </c>
      <c r="D27" s="511" t="e">
        <f>F27/$G$2</f>
        <v>#DIV/0!</v>
      </c>
      <c r="E27" s="511" t="e">
        <f>F27/$G$3</f>
        <v>#DIV/0!</v>
      </c>
      <c r="F27" s="555">
        <v>0</v>
      </c>
      <c r="H27" s="668" t="s">
        <v>330</v>
      </c>
      <c r="I27" s="577">
        <v>650</v>
      </c>
      <c r="J27" s="504"/>
      <c r="K27" s="210"/>
      <c r="L27" s="221"/>
      <c r="M27" s="11"/>
    </row>
    <row r="28" spans="1:13" ht="15.75">
      <c r="A28" s="474"/>
      <c r="B28" s="554" t="s">
        <v>335</v>
      </c>
      <c r="C28" s="588" t="s">
        <v>120</v>
      </c>
      <c r="D28" s="511" t="e">
        <f>F28/$G$2</f>
        <v>#DIV/0!</v>
      </c>
      <c r="E28" s="511" t="e">
        <f>F28/$G$3</f>
        <v>#DIV/0!</v>
      </c>
      <c r="F28" s="555">
        <v>0</v>
      </c>
      <c r="G28" s="988"/>
      <c r="H28" s="987" t="s">
        <v>330</v>
      </c>
      <c r="I28" s="992" t="s">
        <v>401</v>
      </c>
      <c r="J28" s="504" t="e">
        <f>D28</f>
        <v>#DIV/0!</v>
      </c>
      <c r="K28" s="210" t="e">
        <f>J28/$G$2</f>
        <v>#DIV/0!</v>
      </c>
      <c r="L28" s="221" t="e">
        <f>J28/$G$3</f>
        <v>#DIV/0!</v>
      </c>
      <c r="M28" s="11"/>
    </row>
    <row r="29" spans="1:13" ht="15.75">
      <c r="A29" s="474"/>
      <c r="B29" s="589"/>
      <c r="C29" s="544" t="s">
        <v>336</v>
      </c>
      <c r="D29" s="587" t="s">
        <v>345</v>
      </c>
      <c r="E29" s="543"/>
      <c r="F29" s="577" t="s">
        <v>345</v>
      </c>
      <c r="G29" s="988"/>
      <c r="H29" s="991"/>
      <c r="I29" s="989"/>
      <c r="J29" s="504"/>
      <c r="K29" s="210"/>
      <c r="L29" s="221"/>
      <c r="M29" s="11"/>
    </row>
    <row r="30" spans="1:13" ht="15.75">
      <c r="A30" s="474"/>
      <c r="B30" s="584" t="s">
        <v>346</v>
      </c>
      <c r="C30" s="942"/>
      <c r="D30" s="941"/>
      <c r="E30" s="511"/>
      <c r="F30" s="942"/>
      <c r="G30" s="988"/>
      <c r="H30" s="986"/>
      <c r="I30" s="990"/>
      <c r="J30" s="504"/>
      <c r="K30" s="210"/>
      <c r="L30" s="221"/>
      <c r="M30" s="11"/>
    </row>
    <row r="31" spans="1:13" ht="15.75">
      <c r="A31" s="474"/>
      <c r="B31" s="584" t="s">
        <v>347</v>
      </c>
      <c r="C31" s="942"/>
      <c r="D31" s="941"/>
      <c r="E31" s="511"/>
      <c r="F31" s="942"/>
      <c r="G31" s="988"/>
      <c r="H31" s="986"/>
      <c r="I31" s="995"/>
      <c r="J31" s="504"/>
      <c r="K31" s="210"/>
      <c r="L31" s="221"/>
      <c r="M31" s="11"/>
    </row>
    <row r="32" spans="1:13" ht="15.75">
      <c r="A32" s="474"/>
      <c r="B32" s="554" t="s">
        <v>344</v>
      </c>
      <c r="C32" s="505" t="s">
        <v>337</v>
      </c>
      <c r="D32" s="941"/>
      <c r="E32" s="511"/>
      <c r="F32" s="555">
        <v>0</v>
      </c>
      <c r="H32" s="993" t="s">
        <v>337</v>
      </c>
      <c r="I32" s="994">
        <v>6600</v>
      </c>
      <c r="J32" s="504">
        <f>D32</f>
        <v>0</v>
      </c>
      <c r="K32" s="210" t="e">
        <f>J32/$G$2</f>
        <v>#DIV/0!</v>
      </c>
      <c r="L32" s="221" t="e">
        <f>J32/$G$3</f>
        <v>#DIV/0!</v>
      </c>
      <c r="M32" s="11"/>
    </row>
    <row r="33" spans="1:13" ht="15.75">
      <c r="A33" s="474"/>
      <c r="B33" s="556" t="s">
        <v>340</v>
      </c>
      <c r="C33" s="78"/>
      <c r="D33" s="534" t="e">
        <f>SUM(D26:D28)</f>
        <v>#DIV/0!</v>
      </c>
      <c r="E33" s="534" t="e">
        <f>SUM(E26:E28)</f>
        <v>#DIV/0!</v>
      </c>
      <c r="F33" s="557">
        <f>SUM(F26:F32)</f>
        <v>0</v>
      </c>
      <c r="H33" s="670"/>
      <c r="I33" s="561"/>
      <c r="J33" s="509" t="e">
        <f>SUM(J26:J32)</f>
        <v>#DIV/0!</v>
      </c>
      <c r="K33" s="208" t="e">
        <f>SUM(K26:K32)</f>
        <v>#DIV/0!</v>
      </c>
      <c r="L33" s="219" t="e">
        <f>SUM(L26:L32)</f>
        <v>#DIV/0!</v>
      </c>
      <c r="M33" s="11"/>
    </row>
    <row r="34" spans="1:13" ht="15.75">
      <c r="A34" s="474"/>
      <c r="B34" s="556"/>
      <c r="C34" s="78"/>
      <c r="D34" s="510"/>
      <c r="E34" s="510"/>
      <c r="F34" s="557"/>
      <c r="H34" s="670"/>
      <c r="I34" s="561"/>
      <c r="J34" s="509"/>
      <c r="K34" s="208"/>
      <c r="L34" s="219"/>
      <c r="M34" s="11"/>
    </row>
    <row r="35" spans="1:13" s="81" customFormat="1" ht="24" customHeight="1">
      <c r="A35" s="475"/>
      <c r="B35" s="562" t="s">
        <v>124</v>
      </c>
      <c r="C35" s="526"/>
      <c r="D35" s="535" t="e">
        <f>D16+D18+D24+D33+D11</f>
        <v>#DIV/0!</v>
      </c>
      <c r="E35" s="535" t="e">
        <f>E16+E18+E24+E33+E11</f>
        <v>#DIV/0!</v>
      </c>
      <c r="F35" s="563">
        <f>F11+F16+F18+F24+F33</f>
        <v>0</v>
      </c>
      <c r="H35" s="943"/>
      <c r="I35" s="578"/>
      <c r="J35" s="522" t="e">
        <f>J11+J16+J18+J24+J33</f>
        <v>#DIV/0!</v>
      </c>
      <c r="K35" s="212" t="e">
        <f>K16+K18+K24+K33+K11</f>
        <v>#DIV/0!</v>
      </c>
      <c r="L35" s="223" t="e">
        <f>L16+L18+L24+L33+L11</f>
        <v>#DIV/0!</v>
      </c>
      <c r="M35" s="80"/>
    </row>
    <row r="36" spans="1:13" ht="15.75">
      <c r="A36" s="15"/>
      <c r="B36" s="564" t="s">
        <v>342</v>
      </c>
      <c r="C36" s="527"/>
      <c r="D36" s="536" t="e">
        <f>D35-D11</f>
        <v>#DIV/0!</v>
      </c>
      <c r="E36" s="536" t="e">
        <f>E35-E11</f>
        <v>#DIV/0!</v>
      </c>
      <c r="F36" s="565">
        <f>F35-F18</f>
        <v>0</v>
      </c>
      <c r="H36" s="673"/>
      <c r="I36" s="571"/>
      <c r="J36" s="523" t="e">
        <f>J35-J11</f>
        <v>#DIV/0!</v>
      </c>
      <c r="K36" s="213" t="e">
        <f>K35-K11</f>
        <v>#DIV/0!</v>
      </c>
      <c r="L36" s="224" t="e">
        <f>L35-L11</f>
        <v>#DIV/0!</v>
      </c>
      <c r="M36" s="8"/>
    </row>
    <row r="37" spans="1:13" ht="16.5" thickBot="1">
      <c r="A37" s="15"/>
      <c r="B37" s="566"/>
      <c r="C37" s="528"/>
      <c r="D37" s="529"/>
      <c r="E37" s="529"/>
      <c r="F37" s="567"/>
      <c r="H37" s="673"/>
      <c r="I37" s="571"/>
      <c r="J37" s="530"/>
      <c r="K37" s="531"/>
      <c r="L37" s="532"/>
      <c r="M37" s="8"/>
    </row>
    <row r="38" spans="1:13" ht="15.75">
      <c r="A38" s="15"/>
      <c r="B38" s="568" t="s">
        <v>125</v>
      </c>
      <c r="C38" s="524"/>
      <c r="D38" s="525"/>
      <c r="E38" s="525"/>
      <c r="F38" s="557"/>
      <c r="H38" s="579"/>
      <c r="I38" s="561"/>
      <c r="J38" s="537"/>
      <c r="K38" s="214"/>
      <c r="L38" s="225"/>
      <c r="M38" s="8"/>
    </row>
    <row r="39" spans="1:13" ht="15.75">
      <c r="A39" s="15"/>
      <c r="B39" s="554" t="s">
        <v>126</v>
      </c>
      <c r="C39" s="512" t="s">
        <v>120</v>
      </c>
      <c r="D39" s="511" t="e">
        <f>F39/$G$2</f>
        <v>#DIV/0!</v>
      </c>
      <c r="E39" s="511" t="e">
        <f>F39/$G$3</f>
        <v>#DIV/0!</v>
      </c>
      <c r="F39" s="560">
        <v>0</v>
      </c>
      <c r="H39" s="668" t="s">
        <v>330</v>
      </c>
      <c r="I39" s="590">
        <v>250</v>
      </c>
      <c r="J39" s="504" t="e">
        <f>D39</f>
        <v>#DIV/0!</v>
      </c>
      <c r="K39" s="215" t="e">
        <f>N39/$G$2</f>
        <v>#DIV/0!</v>
      </c>
      <c r="L39" s="226" t="e">
        <f>N39/$G$3</f>
        <v>#DIV/0!</v>
      </c>
      <c r="M39" s="8"/>
    </row>
    <row r="40" spans="1:13" ht="15.75">
      <c r="A40" s="15"/>
      <c r="B40" s="569" t="s">
        <v>1</v>
      </c>
      <c r="C40" s="541"/>
      <c r="D40" s="542" t="e">
        <f>SUM(D39:D39)</f>
        <v>#DIV/0!</v>
      </c>
      <c r="E40" s="542" t="e">
        <f>SUM(E39:E39)</f>
        <v>#DIV/0!</v>
      </c>
      <c r="F40" s="567">
        <f>SUM(F39:F39)</f>
        <v>0</v>
      </c>
      <c r="H40" s="670"/>
      <c r="I40" s="561"/>
      <c r="J40" s="533" t="e">
        <f>SUM(J39:J39)</f>
        <v>#DIV/0!</v>
      </c>
      <c r="K40" s="216" t="e">
        <f>SUM(K39:K39)</f>
        <v>#DIV/0!</v>
      </c>
      <c r="L40" s="227" t="e">
        <f>SUM(L39:L39)</f>
        <v>#DIV/0!</v>
      </c>
      <c r="M40" s="8"/>
    </row>
    <row r="41" spans="1:13" ht="16.5" thickBot="1">
      <c r="A41" s="15"/>
      <c r="B41" s="570"/>
      <c r="C41" s="539"/>
      <c r="D41" s="540"/>
      <c r="E41" s="540"/>
      <c r="F41" s="571"/>
      <c r="H41" s="674"/>
      <c r="I41" s="571"/>
      <c r="J41" s="533"/>
      <c r="K41" s="216"/>
      <c r="L41" s="227"/>
      <c r="M41" s="8"/>
    </row>
    <row r="42" spans="1:13" ht="15.75">
      <c r="A42" s="15"/>
      <c r="B42" s="572" t="s">
        <v>127</v>
      </c>
      <c r="C42" s="573"/>
      <c r="D42" s="574" t="e">
        <f>D35+D40</f>
        <v>#DIV/0!</v>
      </c>
      <c r="E42" s="574" t="e">
        <f>E35+E40</f>
        <v>#DIV/0!</v>
      </c>
      <c r="F42" s="575">
        <f>F35+F40</f>
        <v>0</v>
      </c>
      <c r="H42" s="675"/>
      <c r="I42" s="580"/>
      <c r="J42" s="533" t="e">
        <f>J35+J40</f>
        <v>#DIV/0!</v>
      </c>
      <c r="K42" s="216" t="e">
        <f>K35+K40</f>
        <v>#DIV/0!</v>
      </c>
      <c r="L42" s="227" t="e">
        <f>L35+L40</f>
        <v>#DIV/0!</v>
      </c>
      <c r="M42" s="8"/>
    </row>
    <row r="43" spans="1:13">
      <c r="A43" s="15"/>
      <c r="B43" s="10"/>
      <c r="C43" s="10"/>
      <c r="D43" s="538"/>
      <c r="E43" s="538"/>
      <c r="F43" s="538"/>
      <c r="H43" s="15"/>
      <c r="I43" s="545"/>
      <c r="J43" s="506"/>
      <c r="K43" s="506"/>
      <c r="L43" s="507"/>
      <c r="M43" s="8"/>
    </row>
    <row r="44" spans="1:13" s="477" customFormat="1">
      <c r="A44" s="15"/>
      <c r="B44" s="15"/>
      <c r="C44" s="15"/>
      <c r="D44" s="15"/>
      <c r="E44" s="15"/>
      <c r="F44" s="18"/>
      <c r="H44" s="476" t="s">
        <v>400</v>
      </c>
      <c r="I44" s="18"/>
      <c r="J44" s="18"/>
      <c r="K44" s="15"/>
      <c r="L44" s="15"/>
      <c r="M44" s="15"/>
    </row>
    <row r="45" spans="1:13" ht="15.75">
      <c r="A45" s="476"/>
      <c r="B45" s="10"/>
      <c r="C45" s="8"/>
      <c r="D45" s="8"/>
      <c r="E45" s="8"/>
      <c r="F45" s="14"/>
      <c r="H45" s="985"/>
      <c r="I45" s="546"/>
      <c r="J45" s="14"/>
      <c r="K45" s="8"/>
      <c r="L45" s="8"/>
      <c r="M45" s="8"/>
    </row>
    <row r="46" spans="1:13">
      <c r="A46" s="476"/>
      <c r="B46" s="10"/>
      <c r="C46" s="8"/>
      <c r="D46" s="8"/>
      <c r="E46" s="8"/>
      <c r="F46" s="14"/>
      <c r="I46" s="546"/>
      <c r="J46" s="14"/>
      <c r="K46" s="8"/>
      <c r="L46" s="8"/>
      <c r="M46" s="8"/>
    </row>
    <row r="47" spans="1:13" s="19" customFormat="1">
      <c r="A47" s="15"/>
      <c r="B47" s="17"/>
      <c r="C47" s="16"/>
      <c r="D47" s="15"/>
      <c r="E47" s="15"/>
      <c r="F47" s="18"/>
      <c r="I47" s="984"/>
      <c r="J47" s="984"/>
      <c r="K47" s="984"/>
      <c r="L47" s="984"/>
      <c r="M47" s="984"/>
    </row>
    <row r="48" spans="1:13" s="19" customFormat="1">
      <c r="A48" s="15"/>
      <c r="B48" s="17"/>
      <c r="C48" s="16"/>
      <c r="D48" s="15"/>
      <c r="E48" s="15"/>
      <c r="F48" s="18"/>
      <c r="H48" s="16"/>
      <c r="I48" s="15"/>
      <c r="J48" s="15"/>
      <c r="K48" s="15"/>
      <c r="L48" s="15"/>
      <c r="M48" s="15"/>
    </row>
    <row r="49" spans="1:13" s="19" customFormat="1">
      <c r="A49" s="15"/>
      <c r="B49" s="17"/>
      <c r="C49" s="16"/>
      <c r="D49" s="15"/>
      <c r="E49" s="15"/>
      <c r="F49" s="18"/>
      <c r="H49" s="16"/>
      <c r="I49" s="15"/>
      <c r="J49" s="15"/>
      <c r="K49" s="15"/>
      <c r="L49" s="15"/>
      <c r="M49" s="15"/>
    </row>
    <row r="50" spans="1:13" s="19" customFormat="1">
      <c r="A50" s="15"/>
      <c r="B50" s="17"/>
      <c r="C50" s="16"/>
      <c r="D50" s="15"/>
      <c r="E50" s="15"/>
      <c r="F50" s="18"/>
      <c r="H50" s="16"/>
      <c r="I50" s="18"/>
      <c r="J50" s="18"/>
      <c r="K50" s="15"/>
      <c r="L50" s="15"/>
      <c r="M50" s="15"/>
    </row>
    <row r="51" spans="1:13" s="19" customFormat="1">
      <c r="A51" s="15"/>
      <c r="B51" s="17"/>
      <c r="C51" s="16"/>
      <c r="D51" s="15"/>
      <c r="E51" s="15"/>
      <c r="F51" s="18"/>
      <c r="H51" s="16"/>
      <c r="I51" s="18"/>
      <c r="J51" s="18"/>
      <c r="K51" s="15"/>
      <c r="L51" s="15"/>
      <c r="M51" s="15"/>
    </row>
    <row r="52" spans="1:13" s="19" customFormat="1">
      <c r="A52" s="15"/>
      <c r="B52" s="17"/>
      <c r="C52" s="16"/>
      <c r="D52" s="15"/>
      <c r="E52" s="15"/>
      <c r="F52" s="18"/>
      <c r="H52" s="16"/>
      <c r="I52" s="18"/>
      <c r="J52" s="18"/>
      <c r="K52" s="15"/>
      <c r="L52" s="15"/>
      <c r="M52" s="15"/>
    </row>
    <row r="53" spans="1:13" s="19" customFormat="1">
      <c r="A53" s="15"/>
      <c r="B53" s="17"/>
      <c r="C53" s="16"/>
      <c r="D53" s="15"/>
      <c r="E53" s="15"/>
      <c r="F53" s="18"/>
      <c r="H53" s="16"/>
      <c r="I53" s="18"/>
      <c r="J53" s="18"/>
      <c r="K53" s="15"/>
      <c r="L53" s="15"/>
      <c r="M53" s="15"/>
    </row>
    <row r="54" spans="1:13" s="19" customFormat="1">
      <c r="A54" s="15"/>
      <c r="B54" s="16"/>
      <c r="C54" s="16"/>
      <c r="D54" s="15"/>
      <c r="E54" s="15"/>
      <c r="F54" s="18"/>
      <c r="H54" s="16"/>
      <c r="I54" s="18"/>
      <c r="J54" s="18"/>
      <c r="K54" s="15"/>
      <c r="L54" s="15"/>
      <c r="M54" s="15"/>
    </row>
    <row r="55" spans="1:13" s="19" customFormat="1">
      <c r="A55" s="15"/>
      <c r="B55" s="16"/>
      <c r="C55" s="16"/>
      <c r="D55" s="15"/>
      <c r="E55" s="15"/>
      <c r="F55" s="18"/>
      <c r="H55" s="16"/>
      <c r="I55" s="18"/>
      <c r="J55" s="18"/>
      <c r="K55" s="15"/>
      <c r="L55" s="15"/>
      <c r="M55" s="15"/>
    </row>
    <row r="56" spans="1:13" s="19" customFormat="1">
      <c r="A56" s="15"/>
      <c r="B56" s="15"/>
      <c r="C56" s="15"/>
      <c r="D56" s="15"/>
      <c r="E56" s="15"/>
      <c r="F56" s="18"/>
      <c r="H56" s="15"/>
      <c r="I56" s="18"/>
      <c r="J56" s="18"/>
      <c r="K56" s="15"/>
      <c r="L56" s="15"/>
      <c r="M56" s="15"/>
    </row>
  </sheetData>
  <dataValidations disablePrompts="1" count="2">
    <dataValidation type="list" allowBlank="1" showInputMessage="1" showErrorMessage="1" sqref="C19 H19 C11 H11">
      <formula1>"per total project, per unit, per square foot, percent of EGI"</formula1>
    </dataValidation>
    <dataValidation type="list" allowBlank="1" showInputMessage="1" showErrorMessage="1" sqref="C9:C10 C18 C21:C23 H9:H10 H18 H21:H23 H13:H15 C13:C15 H26:H28 C26:C28 H39 C39">
      <formula1>"per total project, per unit, per square foot, percent of EGI, per room"</formula1>
    </dataValidation>
  </dataValidations>
  <pageMargins left="0.7" right="0.7" top="0.75" bottom="0.75" header="0.3" footer="0.3"/>
  <pageSetup scale="60" fitToHeight="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T259"/>
  <sheetViews>
    <sheetView defaultGridColor="0" topLeftCell="A79" colorId="22" zoomScale="90" zoomScaleNormal="90" workbookViewId="0">
      <selection activeCell="C35" sqref="C35"/>
    </sheetView>
  </sheetViews>
  <sheetFormatPr defaultColWidth="9.77734375" defaultRowHeight="15"/>
  <cols>
    <col min="1" max="1" width="3" style="285" customWidth="1"/>
    <col min="2" max="2" width="33.88671875" customWidth="1"/>
    <col min="3" max="3" width="14.44140625" bestFit="1" customWidth="1"/>
    <col min="4" max="4" width="14.88671875" customWidth="1"/>
    <col min="5" max="5" width="14.77734375" style="285" customWidth="1"/>
    <col min="6" max="6" width="4.5546875" style="285" customWidth="1"/>
    <col min="7" max="7" width="21.77734375" style="285" customWidth="1"/>
    <col min="8" max="8" width="21.33203125" style="285" customWidth="1"/>
    <col min="9" max="9" width="16.88671875" style="285" customWidth="1"/>
    <col min="10" max="10" width="16.44140625" style="285" customWidth="1"/>
    <col min="11" max="11" width="15.88671875" style="285" customWidth="1"/>
    <col min="12" max="12" width="17.44140625" style="283" customWidth="1"/>
    <col min="13" max="13" width="10.77734375" style="285" bestFit="1" customWidth="1"/>
    <col min="14" max="14" width="11" style="285" bestFit="1" customWidth="1"/>
    <col min="15" max="19" width="9.77734375" style="285"/>
  </cols>
  <sheetData>
    <row r="1" spans="2:14" s="285" customFormat="1">
      <c r="L1" s="283"/>
    </row>
    <row r="2" spans="2:14" s="285" customFormat="1" ht="15.75">
      <c r="B2" s="997" t="str">
        <f>'Sources and Uses'!B1</f>
        <v>Project Site: Insert Site Name</v>
      </c>
      <c r="C2" s="591"/>
      <c r="D2" s="283" t="str">
        <f>'Units &amp; Income'!D2</f>
        <v>Units:</v>
      </c>
      <c r="E2" s="691">
        <f>'Units &amp; Income'!E2</f>
        <v>0</v>
      </c>
      <c r="F2" s="593"/>
      <c r="L2" s="283"/>
      <c r="M2" s="591"/>
      <c r="N2" s="591"/>
    </row>
    <row r="3" spans="2:14" s="285" customFormat="1" ht="15.75">
      <c r="B3" s="997" t="str">
        <f>'Sources and Uses'!B2</f>
        <v>Development Team: Insert Team Name</v>
      </c>
      <c r="C3" s="591"/>
      <c r="D3" s="952"/>
      <c r="E3" s="951"/>
      <c r="F3" s="591"/>
      <c r="G3" s="591"/>
      <c r="H3" s="591"/>
      <c r="K3" s="593"/>
      <c r="L3" s="276"/>
      <c r="M3" s="591"/>
      <c r="N3" s="591"/>
    </row>
    <row r="4" spans="2:14" s="285" customFormat="1" ht="15.75">
      <c r="B4" s="998"/>
      <c r="C4" s="591"/>
      <c r="D4" s="952"/>
      <c r="E4" s="951"/>
      <c r="F4" s="591"/>
      <c r="G4" s="591"/>
      <c r="H4" s="591"/>
      <c r="K4" s="593"/>
      <c r="L4" s="276"/>
      <c r="M4" s="591"/>
      <c r="N4" s="591"/>
    </row>
    <row r="5" spans="2:14" s="285" customFormat="1" ht="15.75">
      <c r="B5" s="1110" t="s">
        <v>402</v>
      </c>
      <c r="C5" s="1110"/>
      <c r="D5" s="1110"/>
      <c r="E5" s="1110"/>
      <c r="L5" s="866"/>
      <c r="M5" s="595"/>
      <c r="N5" s="595"/>
    </row>
    <row r="6" spans="2:14" s="285" customFormat="1" ht="15.75">
      <c r="B6" s="996"/>
      <c r="C6" s="996"/>
      <c r="D6" s="996"/>
      <c r="E6" s="996"/>
      <c r="L6" s="866"/>
      <c r="M6" s="595"/>
      <c r="N6" s="595"/>
    </row>
    <row r="7" spans="2:14" ht="15.75">
      <c r="B7" s="620" t="s">
        <v>60</v>
      </c>
      <c r="C7" s="621"/>
      <c r="D7" s="621"/>
      <c r="E7" s="622"/>
      <c r="L7" s="242"/>
    </row>
    <row r="8" spans="2:14">
      <c r="B8" s="623" t="s">
        <v>46</v>
      </c>
      <c r="C8" s="606"/>
      <c r="D8" s="607"/>
      <c r="E8" s="624">
        <f>'Units &amp; Income'!I74</f>
        <v>0</v>
      </c>
      <c r="L8" s="242"/>
    </row>
    <row r="9" spans="2:14">
      <c r="B9" s="623" t="str">
        <f>'Units &amp; Income'!B30</f>
        <v>Parking</v>
      </c>
      <c r="C9" s="608"/>
      <c r="D9" s="608"/>
      <c r="E9" s="624">
        <f>'Units &amp; Income'!F30</f>
        <v>0</v>
      </c>
      <c r="L9" s="242"/>
    </row>
    <row r="10" spans="2:14">
      <c r="B10" s="625" t="str">
        <f>'Units &amp; Income'!B33</f>
        <v>Commercial</v>
      </c>
      <c r="C10" s="608"/>
      <c r="D10" s="608"/>
      <c r="E10" s="624">
        <f>'Units &amp; Income'!F33</f>
        <v>0</v>
      </c>
      <c r="L10" s="242"/>
    </row>
    <row r="11" spans="2:14">
      <c r="B11" s="623" t="str">
        <f>'Units &amp; Income'!B35</f>
        <v>Community Facility</v>
      </c>
      <c r="C11" s="608"/>
      <c r="D11" s="608"/>
      <c r="E11" s="624">
        <f>'Units &amp; Income'!F35</f>
        <v>0</v>
      </c>
      <c r="L11" s="242"/>
    </row>
    <row r="12" spans="2:14">
      <c r="B12" s="623" t="str">
        <f>'Units &amp; Income'!B38</f>
        <v>Laundry</v>
      </c>
      <c r="C12" s="608"/>
      <c r="D12" s="608"/>
      <c r="E12" s="624">
        <f>'Units &amp; Income'!F38</f>
        <v>0</v>
      </c>
      <c r="L12" s="242"/>
    </row>
    <row r="13" spans="2:14">
      <c r="B13" s="626" t="s">
        <v>278</v>
      </c>
      <c r="C13" s="608"/>
      <c r="D13" s="607"/>
      <c r="E13" s="627">
        <f>SUM(E8,E9,E10,E11,E12)</f>
        <v>0</v>
      </c>
      <c r="L13" s="242"/>
    </row>
    <row r="14" spans="2:14">
      <c r="B14" s="626"/>
      <c r="C14" s="608"/>
      <c r="D14" s="607"/>
      <c r="E14" s="627"/>
      <c r="L14" s="242"/>
    </row>
    <row r="15" spans="2:14" ht="15.75">
      <c r="B15" s="628" t="s">
        <v>277</v>
      </c>
      <c r="C15" s="608"/>
      <c r="D15" s="609" t="s">
        <v>268</v>
      </c>
      <c r="E15" s="624"/>
      <c r="L15" s="242"/>
    </row>
    <row r="16" spans="2:14">
      <c r="B16" s="629" t="str">
        <f>'Units &amp; Income'!H74</f>
        <v>Total Annual Rental Income</v>
      </c>
      <c r="C16" s="640">
        <v>0.05</v>
      </c>
      <c r="D16" s="610">
        <v>0.05</v>
      </c>
      <c r="E16" s="624">
        <f>C16*-E8</f>
        <v>0</v>
      </c>
      <c r="L16" s="242"/>
    </row>
    <row r="17" spans="2:20">
      <c r="B17" s="629" t="str">
        <f>'Units &amp; Income'!B30</f>
        <v>Parking</v>
      </c>
      <c r="C17" s="640">
        <v>0.1</v>
      </c>
      <c r="D17" s="610">
        <v>0.05</v>
      </c>
      <c r="E17" s="624">
        <f>C17*-E9</f>
        <v>0</v>
      </c>
      <c r="L17" s="242"/>
    </row>
    <row r="18" spans="2:20">
      <c r="B18" s="629" t="str">
        <f>'Units &amp; Income'!B33</f>
        <v>Commercial</v>
      </c>
      <c r="C18" s="640">
        <v>0.1</v>
      </c>
      <c r="D18" s="610">
        <v>0.1</v>
      </c>
      <c r="E18" s="624">
        <f>-(E10*C18)</f>
        <v>0</v>
      </c>
    </row>
    <row r="19" spans="2:20">
      <c r="B19" s="629" t="str">
        <f>'Units &amp; Income'!B35</f>
        <v>Community Facility</v>
      </c>
      <c r="C19" s="640">
        <v>0.1</v>
      </c>
      <c r="D19" s="610">
        <v>0.1</v>
      </c>
      <c r="E19" s="624">
        <f>-(E11*C19)</f>
        <v>0</v>
      </c>
    </row>
    <row r="20" spans="2:20">
      <c r="B20" s="630" t="str">
        <f>'Units &amp; Income'!B38</f>
        <v>Laundry</v>
      </c>
      <c r="C20" s="640">
        <v>0.1</v>
      </c>
      <c r="D20" s="610">
        <v>0.1</v>
      </c>
      <c r="E20" s="624">
        <f>-(C20*E12)</f>
        <v>0</v>
      </c>
      <c r="M20" s="591"/>
      <c r="O20" s="283"/>
    </row>
    <row r="21" spans="2:20" ht="19.5" customHeight="1">
      <c r="B21" s="631" t="s">
        <v>9</v>
      </c>
      <c r="C21" s="611"/>
      <c r="D21" s="611"/>
      <c r="E21" s="627">
        <f>E8+E16</f>
        <v>0</v>
      </c>
    </row>
    <row r="22" spans="2:20" ht="17.25" customHeight="1">
      <c r="B22" s="626" t="s">
        <v>59</v>
      </c>
      <c r="C22" s="612"/>
      <c r="D22" s="612"/>
      <c r="E22" s="627">
        <f>SUM(E9:E12)+SUM(E17:E20)</f>
        <v>0</v>
      </c>
    </row>
    <row r="23" spans="2:20" ht="22.5" customHeight="1">
      <c r="B23" s="632" t="s">
        <v>141</v>
      </c>
      <c r="C23" s="613"/>
      <c r="D23" s="613"/>
      <c r="E23" s="633">
        <f>E21+E22</f>
        <v>0</v>
      </c>
    </row>
    <row r="24" spans="2:20" ht="15" customHeight="1">
      <c r="B24" s="632"/>
      <c r="C24" s="613"/>
      <c r="D24" s="613"/>
      <c r="E24" s="633"/>
    </row>
    <row r="25" spans="2:20" ht="15.75">
      <c r="B25" s="634" t="s">
        <v>279</v>
      </c>
      <c r="C25" s="608"/>
      <c r="D25" s="608"/>
      <c r="E25" s="635">
        <f>'Operating Expenses '!F42</f>
        <v>0</v>
      </c>
    </row>
    <row r="26" spans="2:20" ht="15.75">
      <c r="B26" s="632"/>
      <c r="C26" s="1111"/>
      <c r="D26" s="1111"/>
      <c r="E26" s="1112"/>
    </row>
    <row r="27" spans="2:20" ht="15.75">
      <c r="B27" s="636" t="s">
        <v>140</v>
      </c>
      <c r="C27" s="637"/>
      <c r="D27" s="638"/>
      <c r="E27" s="639">
        <f>E23-E25</f>
        <v>0</v>
      </c>
      <c r="M27" s="283"/>
      <c r="N27" s="283"/>
      <c r="O27" s="283"/>
      <c r="P27" s="283"/>
      <c r="Q27" s="283"/>
      <c r="R27" s="283"/>
      <c r="S27" s="283"/>
      <c r="T27" s="5"/>
    </row>
    <row r="28" spans="2:20" s="285" customFormat="1" ht="36" customHeight="1">
      <c r="B28" s="594" t="s">
        <v>143</v>
      </c>
      <c r="D28" s="594"/>
      <c r="E28" s="594"/>
      <c r="F28" s="594"/>
      <c r="G28" s="594"/>
      <c r="L28" s="283"/>
      <c r="M28" s="591"/>
      <c r="N28" s="591"/>
    </row>
    <row r="29" spans="2:20">
      <c r="B29" s="615" t="s">
        <v>144</v>
      </c>
      <c r="C29" s="949" t="s">
        <v>306</v>
      </c>
      <c r="D29" s="929"/>
      <c r="E29" s="930"/>
      <c r="M29" s="591"/>
      <c r="N29" s="597"/>
    </row>
    <row r="30" spans="2:20">
      <c r="B30" s="616" t="s">
        <v>149</v>
      </c>
      <c r="C30" s="604" t="s">
        <v>147</v>
      </c>
      <c r="D30" s="604" t="s">
        <v>150</v>
      </c>
      <c r="E30" s="931"/>
      <c r="H30" s="247"/>
      <c r="M30" s="591"/>
      <c r="N30" s="597"/>
    </row>
    <row r="31" spans="2:20">
      <c r="B31" s="617" t="s">
        <v>145</v>
      </c>
      <c r="C31" s="604" t="s">
        <v>146</v>
      </c>
      <c r="D31" s="917"/>
      <c r="E31" s="931"/>
      <c r="M31" s="598"/>
      <c r="N31" s="598"/>
    </row>
    <row r="32" spans="2:20">
      <c r="B32" s="617" t="s">
        <v>206</v>
      </c>
      <c r="C32" s="604">
        <v>0</v>
      </c>
      <c r="D32" s="918" t="s">
        <v>212</v>
      </c>
      <c r="E32" s="931"/>
      <c r="M32" s="599"/>
      <c r="N32" s="599"/>
    </row>
    <row r="33" spans="2:14">
      <c r="B33" s="618"/>
      <c r="C33" s="614"/>
      <c r="D33" s="614"/>
      <c r="E33" s="931"/>
      <c r="M33" s="600"/>
      <c r="N33" s="600"/>
    </row>
    <row r="34" spans="2:14">
      <c r="B34" s="616" t="s">
        <v>197</v>
      </c>
      <c r="C34" s="603">
        <v>4.8500000000000001E-2</v>
      </c>
      <c r="D34" s="919" t="s">
        <v>142</v>
      </c>
      <c r="E34" s="931"/>
      <c r="M34" s="601"/>
      <c r="N34" s="601"/>
    </row>
    <row r="35" spans="2:14">
      <c r="B35" s="616" t="s">
        <v>198</v>
      </c>
      <c r="C35" s="603">
        <v>2.5000000000000001E-3</v>
      </c>
      <c r="D35" s="920" t="s">
        <v>111</v>
      </c>
      <c r="E35" s="931"/>
      <c r="L35" s="242"/>
    </row>
    <row r="36" spans="2:14">
      <c r="B36" s="616" t="s">
        <v>198</v>
      </c>
      <c r="C36" s="603">
        <v>0</v>
      </c>
      <c r="D36" s="920"/>
      <c r="E36" s="931"/>
      <c r="L36" s="242"/>
    </row>
    <row r="37" spans="2:14" ht="14.25" customHeight="1">
      <c r="B37" s="616" t="s">
        <v>198</v>
      </c>
      <c r="C37" s="603">
        <v>0</v>
      </c>
      <c r="D37" s="920"/>
      <c r="E37" s="931"/>
      <c r="L37" s="867"/>
    </row>
    <row r="38" spans="2:14">
      <c r="B38" s="616" t="s">
        <v>198</v>
      </c>
      <c r="C38" s="641">
        <f>IF(C29="SONYMA-MIF",0.5%,0)</f>
        <v>5.0000000000000001E-3</v>
      </c>
      <c r="D38" s="920" t="s">
        <v>134</v>
      </c>
      <c r="E38" s="931"/>
      <c r="L38" s="868"/>
    </row>
    <row r="39" spans="2:14">
      <c r="B39" s="616" t="s">
        <v>148</v>
      </c>
      <c r="C39" s="921">
        <f>SUM(C34:C38)</f>
        <v>5.6000000000000001E-2</v>
      </c>
      <c r="D39" s="922"/>
      <c r="E39" s="931"/>
      <c r="L39" s="242"/>
    </row>
    <row r="40" spans="2:14" s="285" customFormat="1">
      <c r="B40" s="932"/>
      <c r="C40" s="916"/>
      <c r="D40" s="916"/>
      <c r="E40" s="931"/>
      <c r="F40" s="283"/>
      <c r="L40" s="283"/>
    </row>
    <row r="41" spans="2:14">
      <c r="B41" s="933" t="s">
        <v>383</v>
      </c>
      <c r="C41" s="923">
        <v>1.1499999999999999</v>
      </c>
      <c r="D41" s="916"/>
      <c r="E41" s="931"/>
      <c r="L41" s="242"/>
    </row>
    <row r="42" spans="2:14">
      <c r="B42" s="757" t="s">
        <v>204</v>
      </c>
      <c r="C42" s="924">
        <f>E27/C41</f>
        <v>0</v>
      </c>
      <c r="D42" s="916"/>
      <c r="E42" s="931"/>
      <c r="L42" s="242"/>
    </row>
    <row r="43" spans="2:14">
      <c r="B43" s="934" t="s">
        <v>384</v>
      </c>
      <c r="C43" s="925">
        <f>((-PV(C39/12,C32*12,(C42-C62-C73-C84-C95)/12)))</f>
        <v>0</v>
      </c>
      <c r="D43" s="916"/>
      <c r="E43" s="931"/>
      <c r="L43" s="242"/>
    </row>
    <row r="44" spans="2:14" s="285" customFormat="1">
      <c r="B44" s="932"/>
      <c r="C44" s="916"/>
      <c r="D44" s="916"/>
      <c r="E44" s="931"/>
      <c r="L44" s="283"/>
    </row>
    <row r="45" spans="2:14">
      <c r="B45" s="933" t="s">
        <v>202</v>
      </c>
      <c r="C45" s="923">
        <v>1.05</v>
      </c>
      <c r="D45" s="926" t="s">
        <v>200</v>
      </c>
      <c r="E45" s="931"/>
    </row>
    <row r="46" spans="2:14">
      <c r="B46" s="758" t="s">
        <v>201</v>
      </c>
      <c r="C46" s="924">
        <f>E23</f>
        <v>0</v>
      </c>
      <c r="D46" s="926"/>
      <c r="E46" s="931"/>
    </row>
    <row r="47" spans="2:14">
      <c r="B47" s="759" t="s">
        <v>203</v>
      </c>
      <c r="C47" s="924">
        <f>-E25</f>
        <v>0</v>
      </c>
      <c r="D47" s="926"/>
      <c r="E47" s="931"/>
    </row>
    <row r="48" spans="2:14">
      <c r="B48" s="759" t="s">
        <v>205</v>
      </c>
      <c r="C48" s="924">
        <f>C46/C45+C47</f>
        <v>0</v>
      </c>
      <c r="D48" s="926"/>
      <c r="E48" s="931"/>
    </row>
    <row r="49" spans="2:14">
      <c r="B49" s="760" t="s">
        <v>304</v>
      </c>
      <c r="C49" s="927">
        <v>2.5600000000000002E-3</v>
      </c>
      <c r="D49" s="926"/>
      <c r="E49" s="931"/>
    </row>
    <row r="50" spans="2:14">
      <c r="B50" s="760" t="s">
        <v>199</v>
      </c>
      <c r="C50" s="925">
        <f>((-PV(C39/12,C32*12,(C48-C62-C73-C84-C95)/12)))</f>
        <v>0</v>
      </c>
      <c r="D50" s="916"/>
      <c r="E50" s="931"/>
    </row>
    <row r="51" spans="2:14" s="285" customFormat="1">
      <c r="B51" s="935"/>
      <c r="C51" s="928"/>
      <c r="D51" s="928"/>
      <c r="E51" s="936"/>
      <c r="F51" s="242"/>
      <c r="L51" s="283"/>
    </row>
    <row r="52" spans="2:14" ht="33" customHeight="1">
      <c r="B52" s="937" t="s">
        <v>219</v>
      </c>
      <c r="C52" s="946">
        <f>C43</f>
        <v>0</v>
      </c>
      <c r="D52" s="938"/>
      <c r="E52" s="939"/>
      <c r="F52" s="242"/>
    </row>
    <row r="53" spans="2:14" s="285" customFormat="1" ht="21" customHeight="1">
      <c r="B53" s="585"/>
      <c r="D53" s="596"/>
      <c r="E53" s="242"/>
      <c r="F53" s="242"/>
      <c r="L53" s="283"/>
    </row>
    <row r="54" spans="2:14" s="285" customFormat="1" ht="21" customHeight="1">
      <c r="B54" s="594" t="s">
        <v>226</v>
      </c>
      <c r="D54" s="594"/>
      <c r="E54" s="594"/>
      <c r="F54" s="594"/>
      <c r="G54" s="594"/>
      <c r="L54" s="283"/>
      <c r="M54" s="591"/>
      <c r="N54" s="591"/>
    </row>
    <row r="55" spans="2:14" ht="15.75">
      <c r="B55" s="615" t="s">
        <v>377</v>
      </c>
      <c r="C55" s="1108"/>
      <c r="D55" s="1109"/>
      <c r="G55" s="602" t="s">
        <v>319</v>
      </c>
      <c r="H55" s="738"/>
      <c r="M55" s="591"/>
      <c r="N55" s="597"/>
    </row>
    <row r="56" spans="2:14">
      <c r="B56" s="617" t="s">
        <v>378</v>
      </c>
      <c r="C56" s="906">
        <v>0</v>
      </c>
      <c r="D56" s="912"/>
      <c r="G56" s="600" t="e">
        <f>'Sources and Uses'!C26</f>
        <v>#DIV/0!</v>
      </c>
      <c r="M56" s="598"/>
      <c r="N56" s="598"/>
    </row>
    <row r="57" spans="2:14">
      <c r="B57" s="617" t="s">
        <v>307</v>
      </c>
      <c r="C57" s="940">
        <v>0</v>
      </c>
      <c r="D57" s="913">
        <f>C56*C57</f>
        <v>0</v>
      </c>
      <c r="E57" s="285" t="s">
        <v>379</v>
      </c>
      <c r="G57" s="602" t="s">
        <v>318</v>
      </c>
      <c r="M57" s="599"/>
      <c r="N57" s="599"/>
    </row>
    <row r="58" spans="2:14">
      <c r="B58" s="617" t="s">
        <v>216</v>
      </c>
      <c r="C58" s="907" t="s">
        <v>269</v>
      </c>
      <c r="D58" s="913"/>
      <c r="G58" s="600">
        <f>'Sources and Uses'!C15</f>
        <v>0</v>
      </c>
      <c r="M58" s="599"/>
      <c r="N58" s="599"/>
    </row>
    <row r="59" spans="2:14">
      <c r="B59" s="616" t="s">
        <v>214</v>
      </c>
      <c r="C59" s="908">
        <v>5.0000000000000001E-3</v>
      </c>
      <c r="D59" s="914" t="s">
        <v>225</v>
      </c>
      <c r="H59" s="247"/>
      <c r="L59" s="242"/>
    </row>
    <row r="60" spans="2:14">
      <c r="B60" s="616" t="s">
        <v>215</v>
      </c>
      <c r="C60" s="908">
        <v>5.0000000000000001E-3</v>
      </c>
      <c r="D60" s="914" t="s">
        <v>225</v>
      </c>
      <c r="L60" s="242"/>
    </row>
    <row r="61" spans="2:14">
      <c r="B61" s="616" t="s">
        <v>10</v>
      </c>
      <c r="C61" s="909">
        <v>30</v>
      </c>
      <c r="D61" s="915" t="s">
        <v>212</v>
      </c>
      <c r="L61" s="867"/>
    </row>
    <row r="62" spans="2:14">
      <c r="B62" s="616" t="s">
        <v>305</v>
      </c>
      <c r="C62" s="911">
        <f>C56*C60</f>
        <v>0</v>
      </c>
      <c r="D62" s="915"/>
      <c r="L62" s="867"/>
    </row>
    <row r="63" spans="2:14">
      <c r="B63" s="796" t="s">
        <v>224</v>
      </c>
      <c r="C63" s="947"/>
      <c r="D63" s="948">
        <f>-IPMT(D59/12,1,1,D57*C59)</f>
        <v>0</v>
      </c>
      <c r="M63" s="600"/>
      <c r="N63" s="600"/>
    </row>
    <row r="64" spans="2:14" s="285" customFormat="1">
      <c r="L64" s="283"/>
    </row>
    <row r="65" spans="1:19" s="285" customFormat="1" ht="21" customHeight="1">
      <c r="B65" s="594" t="s">
        <v>227</v>
      </c>
      <c r="D65" s="594"/>
      <c r="E65" s="594"/>
      <c r="F65" s="594"/>
      <c r="G65" s="594"/>
      <c r="L65" s="283"/>
      <c r="M65" s="591"/>
      <c r="N65" s="591"/>
    </row>
    <row r="66" spans="1:19">
      <c r="B66" s="615" t="s">
        <v>377</v>
      </c>
      <c r="C66" s="1106"/>
      <c r="D66" s="1107"/>
      <c r="M66" s="591"/>
      <c r="N66" s="597"/>
    </row>
    <row r="67" spans="1:19">
      <c r="B67" s="617" t="s">
        <v>172</v>
      </c>
      <c r="C67" s="906">
        <v>0</v>
      </c>
      <c r="D67" s="912"/>
      <c r="M67" s="598"/>
      <c r="N67" s="598"/>
    </row>
    <row r="68" spans="1:19">
      <c r="B68" s="617" t="s">
        <v>307</v>
      </c>
      <c r="C68" s="907">
        <v>0</v>
      </c>
      <c r="D68" s="913">
        <f>C67*C68</f>
        <v>0</v>
      </c>
      <c r="E68" s="285" t="s">
        <v>379</v>
      </c>
      <c r="M68" s="599"/>
      <c r="N68" s="599"/>
    </row>
    <row r="69" spans="1:19">
      <c r="B69" s="617" t="s">
        <v>216</v>
      </c>
      <c r="C69" s="907" t="s">
        <v>269</v>
      </c>
      <c r="D69" s="913"/>
      <c r="M69" s="599"/>
      <c r="N69" s="599"/>
    </row>
    <row r="70" spans="1:19">
      <c r="B70" s="616" t="s">
        <v>214</v>
      </c>
      <c r="C70" s="908">
        <v>5.0000000000000001E-3</v>
      </c>
      <c r="D70" s="914" t="s">
        <v>225</v>
      </c>
      <c r="L70" s="242"/>
    </row>
    <row r="71" spans="1:19">
      <c r="B71" s="616" t="s">
        <v>215</v>
      </c>
      <c r="C71" s="908">
        <v>5.0000000000000001E-3</v>
      </c>
      <c r="D71" s="914" t="s">
        <v>225</v>
      </c>
      <c r="L71" s="242"/>
    </row>
    <row r="72" spans="1:19">
      <c r="B72" s="616" t="s">
        <v>10</v>
      </c>
      <c r="C72" s="909">
        <v>30</v>
      </c>
      <c r="D72" s="915" t="s">
        <v>212</v>
      </c>
      <c r="L72" s="867"/>
    </row>
    <row r="73" spans="1:19" s="6" customFormat="1">
      <c r="A73" s="285"/>
      <c r="B73" s="616" t="s">
        <v>305</v>
      </c>
      <c r="C73" s="910">
        <f>C67*C71</f>
        <v>0</v>
      </c>
      <c r="D73" s="915"/>
      <c r="E73" s="285"/>
      <c r="F73" s="285"/>
      <c r="G73" s="285"/>
      <c r="H73" s="285"/>
      <c r="I73" s="285"/>
      <c r="J73" s="285"/>
      <c r="K73" s="285"/>
      <c r="L73" s="867"/>
      <c r="M73" s="285"/>
      <c r="N73" s="285"/>
      <c r="O73" s="285"/>
      <c r="P73" s="285"/>
      <c r="Q73" s="285"/>
      <c r="R73" s="285"/>
      <c r="S73" s="285"/>
    </row>
    <row r="74" spans="1:19">
      <c r="B74" s="796" t="s">
        <v>224</v>
      </c>
      <c r="C74" s="947"/>
      <c r="D74" s="948">
        <f>-IPMT(D70/12,1,1,D68*C70)</f>
        <v>0</v>
      </c>
      <c r="M74" s="600"/>
      <c r="N74" s="600"/>
    </row>
    <row r="75" spans="1:19" s="285" customFormat="1">
      <c r="L75" s="283"/>
    </row>
    <row r="76" spans="1:19" s="285" customFormat="1" ht="21" customHeight="1">
      <c r="B76" s="594" t="s">
        <v>311</v>
      </c>
      <c r="D76" s="594"/>
      <c r="E76" s="594"/>
      <c r="F76" s="594"/>
      <c r="G76" s="594"/>
      <c r="L76" s="283"/>
      <c r="M76" s="591"/>
      <c r="N76" s="591"/>
    </row>
    <row r="77" spans="1:19">
      <c r="B77" s="615" t="s">
        <v>377</v>
      </c>
      <c r="C77" s="1106"/>
      <c r="D77" s="1107"/>
      <c r="M77" s="591"/>
      <c r="N77" s="597"/>
    </row>
    <row r="78" spans="1:19">
      <c r="B78" s="617" t="s">
        <v>378</v>
      </c>
      <c r="C78" s="906">
        <v>0</v>
      </c>
      <c r="D78" s="912"/>
      <c r="M78" s="598"/>
      <c r="N78" s="598"/>
    </row>
    <row r="79" spans="1:19">
      <c r="B79" s="617" t="s">
        <v>307</v>
      </c>
      <c r="C79" s="907">
        <v>0</v>
      </c>
      <c r="D79" s="913">
        <f>D78*C79</f>
        <v>0</v>
      </c>
      <c r="E79" s="285" t="s">
        <v>379</v>
      </c>
      <c r="M79" s="599"/>
      <c r="N79" s="599"/>
    </row>
    <row r="80" spans="1:19">
      <c r="B80" s="617" t="s">
        <v>216</v>
      </c>
      <c r="C80" s="907" t="s">
        <v>269</v>
      </c>
      <c r="D80" s="913"/>
      <c r="M80" s="599"/>
      <c r="N80" s="599"/>
    </row>
    <row r="81" spans="1:19">
      <c r="B81" s="616" t="s">
        <v>214</v>
      </c>
      <c r="C81" s="908">
        <v>5.0000000000000001E-3</v>
      </c>
      <c r="D81" s="914" t="s">
        <v>225</v>
      </c>
      <c r="L81" s="242"/>
    </row>
    <row r="82" spans="1:19">
      <c r="B82" s="616" t="s">
        <v>215</v>
      </c>
      <c r="C82" s="908">
        <v>5.0000000000000001E-3</v>
      </c>
      <c r="D82" s="914" t="s">
        <v>225</v>
      </c>
      <c r="L82" s="242"/>
    </row>
    <row r="83" spans="1:19">
      <c r="B83" s="616" t="s">
        <v>10</v>
      </c>
      <c r="C83" s="909">
        <v>30</v>
      </c>
      <c r="D83" s="915" t="s">
        <v>212</v>
      </c>
      <c r="L83" s="867"/>
    </row>
    <row r="84" spans="1:19" s="6" customFormat="1">
      <c r="A84" s="285"/>
      <c r="B84" s="616" t="s">
        <v>305</v>
      </c>
      <c r="C84" s="910">
        <f>C78*C82</f>
        <v>0</v>
      </c>
      <c r="D84" s="915"/>
      <c r="E84" s="285"/>
      <c r="F84" s="285"/>
      <c r="G84" s="285"/>
      <c r="H84" s="285"/>
      <c r="I84" s="285"/>
      <c r="J84" s="285"/>
      <c r="K84" s="285"/>
      <c r="L84" s="867"/>
      <c r="M84" s="285"/>
      <c r="N84" s="285"/>
      <c r="O84" s="285"/>
      <c r="P84" s="285"/>
      <c r="Q84" s="285"/>
      <c r="R84" s="285"/>
      <c r="S84" s="285"/>
    </row>
    <row r="85" spans="1:19">
      <c r="B85" s="796" t="s">
        <v>224</v>
      </c>
      <c r="C85" s="947"/>
      <c r="D85" s="948">
        <f>-IPMT(D81/12,1,1,D79*C81)</f>
        <v>0</v>
      </c>
      <c r="M85" s="600"/>
      <c r="N85" s="600"/>
    </row>
    <row r="86" spans="1:19" s="285" customFormat="1">
      <c r="L86" s="283"/>
    </row>
    <row r="87" spans="1:19" s="285" customFormat="1" ht="21" customHeight="1">
      <c r="B87" s="594" t="s">
        <v>312</v>
      </c>
      <c r="D87" s="594"/>
      <c r="E87" s="594"/>
      <c r="F87" s="594"/>
      <c r="G87" s="594"/>
      <c r="L87" s="283"/>
      <c r="M87" s="591"/>
      <c r="N87" s="591"/>
    </row>
    <row r="88" spans="1:19">
      <c r="B88" s="615" t="s">
        <v>377</v>
      </c>
      <c r="C88" s="1106"/>
      <c r="D88" s="1107"/>
      <c r="M88" s="591"/>
      <c r="N88" s="597"/>
    </row>
    <row r="89" spans="1:19">
      <c r="B89" s="617" t="s">
        <v>378</v>
      </c>
      <c r="C89" s="906">
        <v>0</v>
      </c>
      <c r="D89" s="912"/>
      <c r="M89" s="598"/>
      <c r="N89" s="598"/>
    </row>
    <row r="90" spans="1:19">
      <c r="B90" s="617" t="s">
        <v>307</v>
      </c>
      <c r="C90" s="907">
        <v>0</v>
      </c>
      <c r="D90" s="913">
        <f>D89*C90</f>
        <v>0</v>
      </c>
      <c r="E90" s="285" t="s">
        <v>379</v>
      </c>
      <c r="M90" s="599"/>
      <c r="N90" s="599"/>
    </row>
    <row r="91" spans="1:19">
      <c r="B91" s="617" t="s">
        <v>216</v>
      </c>
      <c r="C91" s="907" t="s">
        <v>269</v>
      </c>
      <c r="D91" s="913"/>
      <c r="M91" s="599"/>
      <c r="N91" s="599"/>
    </row>
    <row r="92" spans="1:19">
      <c r="B92" s="616" t="s">
        <v>214</v>
      </c>
      <c r="C92" s="908">
        <v>5.0000000000000001E-3</v>
      </c>
      <c r="D92" s="914" t="s">
        <v>225</v>
      </c>
      <c r="L92" s="242"/>
    </row>
    <row r="93" spans="1:19">
      <c r="B93" s="616" t="s">
        <v>215</v>
      </c>
      <c r="C93" s="908">
        <v>5.0000000000000001E-3</v>
      </c>
      <c r="D93" s="914" t="s">
        <v>225</v>
      </c>
      <c r="L93" s="242"/>
    </row>
    <row r="94" spans="1:19">
      <c r="B94" s="616" t="s">
        <v>10</v>
      </c>
      <c r="C94" s="909">
        <v>30</v>
      </c>
      <c r="D94" s="915" t="s">
        <v>212</v>
      </c>
      <c r="L94" s="867"/>
    </row>
    <row r="95" spans="1:19" s="6" customFormat="1">
      <c r="A95" s="285"/>
      <c r="B95" s="616" t="s">
        <v>305</v>
      </c>
      <c r="C95" s="910">
        <f>C89*C93</f>
        <v>0</v>
      </c>
      <c r="D95" s="915"/>
      <c r="E95" s="285"/>
      <c r="F95" s="285"/>
      <c r="G95" s="285"/>
      <c r="H95" s="285"/>
      <c r="I95" s="285"/>
      <c r="J95" s="285"/>
      <c r="K95" s="285"/>
      <c r="L95" s="867"/>
      <c r="M95" s="285"/>
      <c r="N95" s="285"/>
      <c r="O95" s="285"/>
      <c r="P95" s="285"/>
      <c r="Q95" s="285"/>
      <c r="R95" s="285"/>
      <c r="S95" s="285"/>
    </row>
    <row r="96" spans="1:19">
      <c r="B96" s="796" t="s">
        <v>224</v>
      </c>
      <c r="C96" s="947"/>
      <c r="D96" s="948">
        <f>-IPMT(D92/12,1,1,D90*C92)</f>
        <v>0</v>
      </c>
      <c r="M96" s="600"/>
      <c r="N96" s="600"/>
    </row>
    <row r="97" spans="12:12" s="285" customFormat="1">
      <c r="L97" s="283"/>
    </row>
    <row r="98" spans="12:12" s="285" customFormat="1">
      <c r="L98" s="283"/>
    </row>
    <row r="99" spans="12:12" s="285" customFormat="1">
      <c r="L99" s="283"/>
    </row>
    <row r="100" spans="12:12" s="285" customFormat="1">
      <c r="L100" s="283"/>
    </row>
    <row r="101" spans="12:12" s="285" customFormat="1">
      <c r="L101" s="283"/>
    </row>
    <row r="102" spans="12:12" s="285" customFormat="1">
      <c r="L102" s="283"/>
    </row>
    <row r="103" spans="12:12" s="285" customFormat="1">
      <c r="L103" s="283"/>
    </row>
    <row r="104" spans="12:12" s="285" customFormat="1">
      <c r="L104" s="283"/>
    </row>
    <row r="105" spans="12:12" s="285" customFormat="1">
      <c r="L105" s="283"/>
    </row>
    <row r="106" spans="12:12" s="285" customFormat="1">
      <c r="L106" s="283"/>
    </row>
    <row r="107" spans="12:12" s="285" customFormat="1">
      <c r="L107" s="283"/>
    </row>
    <row r="108" spans="12:12" s="285" customFormat="1">
      <c r="L108" s="283"/>
    </row>
    <row r="109" spans="12:12" s="285" customFormat="1">
      <c r="L109" s="283"/>
    </row>
    <row r="110" spans="12:12" s="285" customFormat="1">
      <c r="L110" s="283"/>
    </row>
    <row r="111" spans="12:12" s="285" customFormat="1">
      <c r="L111" s="283"/>
    </row>
    <row r="112" spans="12:12" s="285" customFormat="1">
      <c r="L112" s="283"/>
    </row>
    <row r="113" spans="12:12" s="285" customFormat="1">
      <c r="L113" s="283"/>
    </row>
    <row r="114" spans="12:12" s="285" customFormat="1">
      <c r="L114" s="283"/>
    </row>
    <row r="115" spans="12:12" s="285" customFormat="1">
      <c r="L115" s="283"/>
    </row>
    <row r="116" spans="12:12" s="285" customFormat="1">
      <c r="L116" s="283"/>
    </row>
    <row r="117" spans="12:12" s="285" customFormat="1">
      <c r="L117" s="283"/>
    </row>
    <row r="118" spans="12:12" s="285" customFormat="1">
      <c r="L118" s="283"/>
    </row>
    <row r="119" spans="12:12" s="285" customFormat="1">
      <c r="L119" s="283"/>
    </row>
    <row r="120" spans="12:12" s="285" customFormat="1">
      <c r="L120" s="283"/>
    </row>
    <row r="121" spans="12:12" s="285" customFormat="1">
      <c r="L121" s="283"/>
    </row>
    <row r="122" spans="12:12" s="285" customFormat="1">
      <c r="L122" s="283"/>
    </row>
    <row r="123" spans="12:12" s="285" customFormat="1">
      <c r="L123" s="283"/>
    </row>
    <row r="124" spans="12:12" s="285" customFormat="1">
      <c r="L124" s="283"/>
    </row>
    <row r="125" spans="12:12" s="285" customFormat="1">
      <c r="L125" s="283"/>
    </row>
    <row r="126" spans="12:12" s="285" customFormat="1">
      <c r="L126" s="283"/>
    </row>
    <row r="127" spans="12:12" s="285" customFormat="1">
      <c r="L127" s="283"/>
    </row>
    <row r="128" spans="12:12" s="285" customFormat="1">
      <c r="L128" s="283"/>
    </row>
    <row r="129" spans="12:12" s="285" customFormat="1">
      <c r="L129" s="283"/>
    </row>
    <row r="130" spans="12:12" s="285" customFormat="1">
      <c r="L130" s="283"/>
    </row>
    <row r="131" spans="12:12" s="285" customFormat="1">
      <c r="L131" s="283"/>
    </row>
    <row r="132" spans="12:12" s="285" customFormat="1">
      <c r="L132" s="283"/>
    </row>
    <row r="133" spans="12:12" s="285" customFormat="1">
      <c r="L133" s="283"/>
    </row>
    <row r="134" spans="12:12" s="285" customFormat="1">
      <c r="L134" s="283"/>
    </row>
    <row r="135" spans="12:12" s="285" customFormat="1">
      <c r="L135" s="283"/>
    </row>
    <row r="136" spans="12:12" s="285" customFormat="1">
      <c r="L136" s="283"/>
    </row>
    <row r="137" spans="12:12" s="285" customFormat="1">
      <c r="L137" s="283"/>
    </row>
    <row r="138" spans="12:12" s="285" customFormat="1">
      <c r="L138" s="283"/>
    </row>
    <row r="139" spans="12:12" s="285" customFormat="1">
      <c r="L139" s="283"/>
    </row>
    <row r="140" spans="12:12" s="285" customFormat="1">
      <c r="L140" s="283"/>
    </row>
    <row r="141" spans="12:12" s="285" customFormat="1">
      <c r="L141" s="283"/>
    </row>
    <row r="142" spans="12:12" s="285" customFormat="1">
      <c r="L142" s="283"/>
    </row>
    <row r="143" spans="12:12" s="285" customFormat="1">
      <c r="L143" s="283"/>
    </row>
    <row r="144" spans="12:12" s="285" customFormat="1">
      <c r="L144" s="283"/>
    </row>
    <row r="145" spans="12:12" s="285" customFormat="1">
      <c r="L145" s="283"/>
    </row>
    <row r="146" spans="12:12" s="285" customFormat="1">
      <c r="L146" s="283"/>
    </row>
    <row r="147" spans="12:12" s="285" customFormat="1">
      <c r="L147" s="283"/>
    </row>
    <row r="148" spans="12:12" s="285" customFormat="1">
      <c r="L148" s="283"/>
    </row>
    <row r="149" spans="12:12" s="285" customFormat="1">
      <c r="L149" s="283"/>
    </row>
    <row r="150" spans="12:12" s="285" customFormat="1">
      <c r="L150" s="283"/>
    </row>
    <row r="151" spans="12:12" s="285" customFormat="1">
      <c r="L151" s="283"/>
    </row>
    <row r="152" spans="12:12" s="285" customFormat="1">
      <c r="L152" s="283"/>
    </row>
    <row r="153" spans="12:12" s="285" customFormat="1">
      <c r="L153" s="283"/>
    </row>
    <row r="154" spans="12:12" s="285" customFormat="1">
      <c r="L154" s="283"/>
    </row>
    <row r="155" spans="12:12" s="285" customFormat="1">
      <c r="L155" s="283"/>
    </row>
    <row r="156" spans="12:12" s="285" customFormat="1">
      <c r="L156" s="283"/>
    </row>
    <row r="157" spans="12:12" s="285" customFormat="1">
      <c r="L157" s="283"/>
    </row>
    <row r="158" spans="12:12" s="285" customFormat="1">
      <c r="L158" s="283"/>
    </row>
    <row r="159" spans="12:12" s="285" customFormat="1">
      <c r="L159" s="283"/>
    </row>
    <row r="160" spans="12:12" s="285" customFormat="1">
      <c r="L160" s="283"/>
    </row>
    <row r="161" spans="12:12" s="285" customFormat="1">
      <c r="L161" s="283"/>
    </row>
    <row r="162" spans="12:12" s="285" customFormat="1">
      <c r="L162" s="283"/>
    </row>
    <row r="163" spans="12:12" s="285" customFormat="1">
      <c r="L163" s="283"/>
    </row>
    <row r="164" spans="12:12" s="285" customFormat="1">
      <c r="L164" s="283"/>
    </row>
    <row r="165" spans="12:12" s="285" customFormat="1">
      <c r="L165" s="283"/>
    </row>
    <row r="166" spans="12:12" s="285" customFormat="1">
      <c r="L166" s="283"/>
    </row>
    <row r="167" spans="12:12" s="285" customFormat="1">
      <c r="L167" s="283"/>
    </row>
    <row r="168" spans="12:12" s="285" customFormat="1">
      <c r="L168" s="283"/>
    </row>
    <row r="169" spans="12:12" s="285" customFormat="1">
      <c r="L169" s="283"/>
    </row>
    <row r="170" spans="12:12" s="285" customFormat="1">
      <c r="L170" s="283"/>
    </row>
    <row r="171" spans="12:12" s="285" customFormat="1">
      <c r="L171" s="283"/>
    </row>
    <row r="172" spans="12:12" s="285" customFormat="1">
      <c r="L172" s="283"/>
    </row>
    <row r="173" spans="12:12" s="285" customFormat="1">
      <c r="L173" s="283"/>
    </row>
    <row r="174" spans="12:12" s="285" customFormat="1">
      <c r="L174" s="283"/>
    </row>
    <row r="175" spans="12:12" s="285" customFormat="1">
      <c r="L175" s="283"/>
    </row>
    <row r="176" spans="12:12" s="285" customFormat="1">
      <c r="L176" s="283"/>
    </row>
    <row r="177" spans="12:12" s="285" customFormat="1">
      <c r="L177" s="283"/>
    </row>
    <row r="178" spans="12:12" s="285" customFormat="1">
      <c r="L178" s="283"/>
    </row>
    <row r="179" spans="12:12" s="285" customFormat="1">
      <c r="L179" s="283"/>
    </row>
    <row r="180" spans="12:12" s="285" customFormat="1">
      <c r="L180" s="283"/>
    </row>
    <row r="181" spans="12:12" s="285" customFormat="1">
      <c r="L181" s="283"/>
    </row>
    <row r="182" spans="12:12" s="285" customFormat="1">
      <c r="L182" s="283"/>
    </row>
    <row r="183" spans="12:12" s="285" customFormat="1">
      <c r="L183" s="283"/>
    </row>
    <row r="184" spans="12:12" s="285" customFormat="1">
      <c r="L184" s="283"/>
    </row>
    <row r="185" spans="12:12" s="285" customFormat="1">
      <c r="L185" s="283"/>
    </row>
    <row r="186" spans="12:12" s="285" customFormat="1">
      <c r="L186" s="283"/>
    </row>
    <row r="187" spans="12:12" s="285" customFormat="1">
      <c r="L187" s="283"/>
    </row>
    <row r="188" spans="12:12" s="285" customFormat="1">
      <c r="L188" s="283"/>
    </row>
    <row r="189" spans="12:12" s="285" customFormat="1">
      <c r="L189" s="283"/>
    </row>
    <row r="190" spans="12:12" s="285" customFormat="1">
      <c r="L190" s="283"/>
    </row>
    <row r="191" spans="12:12" s="285" customFormat="1">
      <c r="L191" s="283"/>
    </row>
    <row r="192" spans="12:12" s="285" customFormat="1">
      <c r="L192" s="283"/>
    </row>
    <row r="193" spans="12:12" s="285" customFormat="1">
      <c r="L193" s="283"/>
    </row>
    <row r="194" spans="12:12" s="285" customFormat="1">
      <c r="L194" s="283"/>
    </row>
    <row r="195" spans="12:12" s="285" customFormat="1">
      <c r="L195" s="283"/>
    </row>
    <row r="196" spans="12:12" s="285" customFormat="1">
      <c r="L196" s="283"/>
    </row>
    <row r="197" spans="12:12" s="285" customFormat="1">
      <c r="L197" s="283"/>
    </row>
    <row r="198" spans="12:12" s="285" customFormat="1">
      <c r="L198" s="283"/>
    </row>
    <row r="199" spans="12:12" s="285" customFormat="1">
      <c r="L199" s="283"/>
    </row>
    <row r="200" spans="12:12" s="285" customFormat="1">
      <c r="L200" s="283"/>
    </row>
    <row r="201" spans="12:12" s="285" customFormat="1">
      <c r="L201" s="283"/>
    </row>
    <row r="202" spans="12:12" s="285" customFormat="1">
      <c r="L202" s="283"/>
    </row>
    <row r="203" spans="12:12" s="285" customFormat="1">
      <c r="L203" s="283"/>
    </row>
    <row r="204" spans="12:12" s="285" customFormat="1">
      <c r="L204" s="283"/>
    </row>
    <row r="205" spans="12:12" s="285" customFormat="1">
      <c r="L205" s="283"/>
    </row>
    <row r="206" spans="12:12" s="285" customFormat="1">
      <c r="L206" s="283"/>
    </row>
    <row r="207" spans="12:12" s="285" customFormat="1">
      <c r="L207" s="283"/>
    </row>
    <row r="208" spans="12:12" s="285" customFormat="1">
      <c r="L208" s="283"/>
    </row>
    <row r="209" spans="12:12" s="285" customFormat="1">
      <c r="L209" s="283"/>
    </row>
    <row r="210" spans="12:12" s="285" customFormat="1">
      <c r="L210" s="283"/>
    </row>
    <row r="211" spans="12:12" s="285" customFormat="1">
      <c r="L211" s="283"/>
    </row>
    <row r="212" spans="12:12" s="285" customFormat="1">
      <c r="L212" s="283"/>
    </row>
    <row r="213" spans="12:12" s="285" customFormat="1">
      <c r="L213" s="283"/>
    </row>
    <row r="214" spans="12:12" s="285" customFormat="1">
      <c r="L214" s="283"/>
    </row>
    <row r="215" spans="12:12" s="285" customFormat="1">
      <c r="L215" s="283"/>
    </row>
    <row r="216" spans="12:12" s="285" customFormat="1">
      <c r="L216" s="283"/>
    </row>
    <row r="217" spans="12:12" s="285" customFormat="1">
      <c r="L217" s="283"/>
    </row>
    <row r="218" spans="12:12" s="285" customFormat="1">
      <c r="L218" s="283"/>
    </row>
    <row r="219" spans="12:12" s="285" customFormat="1">
      <c r="L219" s="283"/>
    </row>
    <row r="220" spans="12:12" s="285" customFormat="1">
      <c r="L220" s="283"/>
    </row>
    <row r="221" spans="12:12" s="285" customFormat="1">
      <c r="L221" s="283"/>
    </row>
    <row r="222" spans="12:12" s="285" customFormat="1">
      <c r="L222" s="283"/>
    </row>
    <row r="223" spans="12:12" s="285" customFormat="1">
      <c r="L223" s="283"/>
    </row>
    <row r="224" spans="12:12" s="285" customFormat="1">
      <c r="L224" s="283"/>
    </row>
    <row r="225" spans="12:12" s="285" customFormat="1">
      <c r="L225" s="283"/>
    </row>
    <row r="226" spans="12:12" s="285" customFormat="1">
      <c r="L226" s="283"/>
    </row>
    <row r="227" spans="12:12" s="285" customFormat="1">
      <c r="L227" s="283"/>
    </row>
    <row r="228" spans="12:12" s="285" customFormat="1">
      <c r="L228" s="283"/>
    </row>
    <row r="229" spans="12:12" s="285" customFormat="1">
      <c r="L229" s="283"/>
    </row>
    <row r="230" spans="12:12" s="285" customFormat="1">
      <c r="L230" s="283"/>
    </row>
    <row r="231" spans="12:12" s="285" customFormat="1">
      <c r="L231" s="283"/>
    </row>
    <row r="232" spans="12:12" s="285" customFormat="1">
      <c r="L232" s="283"/>
    </row>
    <row r="233" spans="12:12" s="285" customFormat="1">
      <c r="L233" s="283"/>
    </row>
    <row r="234" spans="12:12" s="285" customFormat="1">
      <c r="L234" s="283"/>
    </row>
    <row r="235" spans="12:12" s="285" customFormat="1">
      <c r="L235" s="283"/>
    </row>
    <row r="236" spans="12:12" s="285" customFormat="1">
      <c r="L236" s="283"/>
    </row>
    <row r="237" spans="12:12" s="285" customFormat="1">
      <c r="L237" s="283"/>
    </row>
    <row r="238" spans="12:12" s="285" customFormat="1">
      <c r="L238" s="283"/>
    </row>
    <row r="239" spans="12:12" s="285" customFormat="1">
      <c r="L239" s="283"/>
    </row>
    <row r="240" spans="12:12" s="285" customFormat="1">
      <c r="L240" s="283"/>
    </row>
    <row r="241" spans="12:12" s="285" customFormat="1">
      <c r="L241" s="283"/>
    </row>
    <row r="242" spans="12:12" s="285" customFormat="1">
      <c r="L242" s="283"/>
    </row>
    <row r="243" spans="12:12" s="285" customFormat="1">
      <c r="L243" s="283"/>
    </row>
    <row r="244" spans="12:12" s="285" customFormat="1">
      <c r="L244" s="283"/>
    </row>
    <row r="245" spans="12:12" s="285" customFormat="1">
      <c r="L245" s="283"/>
    </row>
    <row r="246" spans="12:12" s="285" customFormat="1">
      <c r="L246" s="283"/>
    </row>
    <row r="247" spans="12:12" s="285" customFormat="1">
      <c r="L247" s="283"/>
    </row>
    <row r="248" spans="12:12" s="285" customFormat="1">
      <c r="L248" s="283"/>
    </row>
    <row r="249" spans="12:12" s="285" customFormat="1">
      <c r="L249" s="283"/>
    </row>
    <row r="250" spans="12:12" s="285" customFormat="1">
      <c r="L250" s="283"/>
    </row>
    <row r="251" spans="12:12" s="285" customFormat="1">
      <c r="L251" s="283"/>
    </row>
    <row r="252" spans="12:12" s="285" customFormat="1">
      <c r="L252" s="283"/>
    </row>
    <row r="253" spans="12:12" s="285" customFormat="1">
      <c r="L253" s="283"/>
    </row>
    <row r="254" spans="12:12" s="285" customFormat="1">
      <c r="L254" s="283"/>
    </row>
    <row r="255" spans="12:12" s="285" customFormat="1">
      <c r="L255" s="283"/>
    </row>
    <row r="256" spans="12:12" s="285" customFormat="1">
      <c r="L256" s="283"/>
    </row>
    <row r="257" spans="12:12" s="285" customFormat="1">
      <c r="L257" s="283"/>
    </row>
    <row r="258" spans="12:12" s="285" customFormat="1">
      <c r="L258" s="283"/>
    </row>
    <row r="259" spans="12:12" s="285" customFormat="1">
      <c r="L259" s="283"/>
    </row>
  </sheetData>
  <customSheetViews>
    <customSheetView guid="{25C4E7E7-1006-4A2D-BC83-AEE4ADF8A914}" scale="75" colorId="22" showPageBreaks="1" fitToPage="1" printArea="1" showRuler="0" topLeftCell="B22">
      <selection activeCell="H30" sqref="H30"/>
      <pageMargins left="0.75" right="0.5" top="0.75" bottom="0.5" header="0.5" footer="0.5"/>
      <pageSetup scale="64" orientation="landscape" r:id="rId1"/>
      <headerFooter alignWithMargins="0"/>
    </customSheetView>
    <customSheetView guid="{28F81D13-D146-4D67-8981-BA5D7A496326}" scale="75" colorId="22" showPageBreaks="1" fitToPage="1" printArea="1" showRuler="0" topLeftCell="F20">
      <selection activeCell="A11" sqref="A11"/>
      <pageMargins left="0.5" right="0.5" top="0.5" bottom="0" header="0.5" footer="0.5"/>
      <pageSetup scale="62" orientation="landscape" r:id="rId2"/>
      <headerFooter alignWithMargins="0"/>
    </customSheetView>
    <customSheetView guid="{AEA5979F-5357-4ED6-A6CA-1BB80F5C7A74}" scale="75" colorId="22" showPageBreaks="1" fitToPage="1" printArea="1" showRuler="0" topLeftCell="C7">
      <selection activeCell="J36" sqref="J36"/>
      <pageMargins left="0.5" right="0.5" top="0.5" bottom="0" header="0.5" footer="0.5"/>
      <pageSetup scale="62" orientation="landscape" r:id="rId3"/>
      <headerFooter alignWithMargins="0"/>
    </customSheetView>
    <customSheetView guid="{EB776EFC-3589-4DB5-BEAF-1E83D9703F9E}" scale="75" colorId="22" fitToPage="1" showRuler="0" topLeftCell="F20">
      <selection activeCell="H39" sqref="H39"/>
      <pageMargins left="0.5" right="0.5" top="0.5" bottom="0" header="0.5" footer="0.5"/>
      <pageSetup scale="63" orientation="landscape" r:id="rId4"/>
      <headerFooter alignWithMargins="0"/>
    </customSheetView>
    <customSheetView guid="{FBB4BF8E-8A9F-4E98-A6F9-5F9BF4C55C67}" scale="75" colorId="22" showPageBreaks="1" fitToPage="1" printArea="1" showRuler="0" topLeftCell="F20">
      <selection activeCell="H28" sqref="H28"/>
      <pageMargins left="0.5" right="0.5" top="0.5" bottom="0" header="0.5" footer="0.5"/>
      <pageSetup scale="63" orientation="landscape" r:id="rId5"/>
      <headerFooter alignWithMargins="0"/>
    </customSheetView>
    <customSheetView guid="{6EF643BE-69F3-424E-8A44-3890161370D4}" scale="75" colorId="22" showPageBreaks="1" fitToPage="1" printArea="1" showRuler="0" topLeftCell="D19">
      <selection activeCell="H30" sqref="H30"/>
      <pageMargins left="0.5" right="0.5" top="0.5" bottom="0" header="0.5" footer="0.5"/>
      <pageSetup scale="62" orientation="landscape" r:id="rId6"/>
      <headerFooter alignWithMargins="0"/>
    </customSheetView>
    <customSheetView guid="{1ECE83C7-A3CE-4F97-BFD3-498FF783C0D9}" scale="75" colorId="22" showPageBreaks="1" fitToPage="1" printArea="1" showRuler="0" topLeftCell="A13">
      <selection activeCell="H29" sqref="H29"/>
      <pageMargins left="0.75" right="0.5" top="0.75" bottom="0.5" header="0.5" footer="0.5"/>
      <pageSetup scale="64" orientation="landscape" r:id="rId7"/>
      <headerFooter alignWithMargins="0"/>
    </customSheetView>
    <customSheetView guid="{560D4AFA-61E5-46C3-B0CD-D0EB3053A033}" scale="75" colorId="22" showPageBreaks="1" fitToPage="1" printArea="1" showRuler="0" topLeftCell="B10">
      <selection activeCell="H36" sqref="H36"/>
      <pageMargins left="0.75" right="0.5" top="0.75" bottom="0.5" header="0.5" footer="0.5"/>
      <pageSetup scale="64" orientation="landscape" r:id="rId8"/>
      <headerFooter alignWithMargins="0"/>
    </customSheetView>
  </customSheetViews>
  <mergeCells count="6">
    <mergeCell ref="C88:D88"/>
    <mergeCell ref="C66:D66"/>
    <mergeCell ref="C55:D55"/>
    <mergeCell ref="B5:E5"/>
    <mergeCell ref="C26:E26"/>
    <mergeCell ref="C77:D77"/>
  </mergeCells>
  <phoneticPr fontId="0" type="noConversion"/>
  <dataValidations count="5">
    <dataValidation type="list" allowBlank="1" showInputMessage="1" showErrorMessage="1" sqref="C31">
      <formula1>"Fixed, Variable"</formula1>
    </dataValidation>
    <dataValidation type="list" allowBlank="1" showInputMessage="1" showErrorMessage="1" sqref="C30">
      <formula1>"Tax-Exempt, Taxable, Blended"</formula1>
    </dataValidation>
    <dataValidation type="list" allowBlank="1" showInputMessage="1" showErrorMessage="1" sqref="D30">
      <formula1>"Self-Amortizing, Interest-Only"</formula1>
    </dataValidation>
    <dataValidation showInputMessage="1" showErrorMessage="1" sqref="D29"/>
    <dataValidation type="list" showInputMessage="1" showErrorMessage="1" sqref="C58 C69 C80 C91">
      <formula1>"[select],Interest Only,Accrued Interest,Self Amortizing"</formula1>
    </dataValidation>
  </dataValidations>
  <pageMargins left="0.7" right="0.7" top="0.75" bottom="0.75" header="0.3" footer="0.3"/>
  <pageSetup scale="32" firstPageNumber="211" orientation="portrait" useFirstPageNumber="1" r:id="rId9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2:AR170"/>
  <sheetViews>
    <sheetView showGridLines="0" zoomScale="80" zoomScaleNormal="80" zoomScaleSheetLayoutView="85" workbookViewId="0">
      <selection activeCell="E18" sqref="E18"/>
    </sheetView>
  </sheetViews>
  <sheetFormatPr defaultColWidth="8.77734375" defaultRowHeight="14.25"/>
  <cols>
    <col min="1" max="1" width="2.6640625" style="20" customWidth="1"/>
    <col min="2" max="2" width="4.21875" style="482" customWidth="1"/>
    <col min="3" max="3" width="28.21875" style="20" customWidth="1"/>
    <col min="4" max="4" width="18.5546875" style="20" customWidth="1"/>
    <col min="5" max="5" width="11.33203125" style="20" customWidth="1"/>
    <col min="6" max="6" width="13.21875" style="77" customWidth="1"/>
    <col min="7" max="7" width="14.5546875" style="77" customWidth="1"/>
    <col min="8" max="8" width="13.109375" style="20" customWidth="1"/>
    <col min="9" max="9" width="12.77734375" style="20" customWidth="1"/>
    <col min="10" max="10" width="12.88671875" style="20" customWidth="1"/>
    <col min="11" max="11" width="12.21875" style="20" customWidth="1"/>
    <col min="12" max="12" width="13.21875" style="20" customWidth="1"/>
    <col min="13" max="14" width="12.21875" style="20" customWidth="1"/>
    <col min="15" max="16" width="13.5546875" style="20" customWidth="1"/>
    <col min="17" max="17" width="12.33203125" style="20" customWidth="1"/>
    <col min="18" max="18" width="12.77734375" style="20" customWidth="1"/>
    <col min="19" max="20" width="12.44140625" style="20" customWidth="1"/>
    <col min="21" max="21" width="12.77734375" style="20" customWidth="1"/>
    <col min="22" max="23" width="13" style="20" customWidth="1"/>
    <col min="24" max="24" width="13.21875" style="20" customWidth="1"/>
    <col min="25" max="25" width="12.21875" style="20" customWidth="1"/>
    <col min="26" max="26" width="12.5546875" style="20" customWidth="1"/>
    <col min="27" max="27" width="12.44140625" style="20" customWidth="1"/>
    <col min="28" max="28" width="12.77734375" style="20" customWidth="1"/>
    <col min="29" max="29" width="12.5546875" style="20" customWidth="1"/>
    <col min="30" max="30" width="13" style="20" customWidth="1"/>
    <col min="31" max="31" width="12.88671875" style="20" customWidth="1"/>
    <col min="32" max="32" width="12.6640625" style="20" customWidth="1"/>
    <col min="33" max="33" width="12.21875" style="20" customWidth="1"/>
    <col min="34" max="34" width="13.21875" style="20" customWidth="1"/>
    <col min="35" max="35" width="12.44140625" style="20" customWidth="1"/>
    <col min="36" max="36" width="8.77734375" style="482" customWidth="1"/>
    <col min="37" max="38" width="8.77734375" style="20" customWidth="1"/>
    <col min="39" max="16384" width="8.77734375" style="20"/>
  </cols>
  <sheetData>
    <row r="2" spans="2:44" s="241" customFormat="1" ht="15.75">
      <c r="B2" s="1101" t="str">
        <f>'Sources and Uses'!B1</f>
        <v>Project Site: Insert Site Name</v>
      </c>
      <c r="C2" s="1101"/>
      <c r="E2" s="1001" t="str">
        <f>'Units &amp; Income'!D2</f>
        <v>Units:</v>
      </c>
      <c r="F2" s="1002">
        <f>'Units &amp; Income'!E2</f>
        <v>0</v>
      </c>
      <c r="I2" s="237"/>
      <c r="J2" s="277"/>
    </row>
    <row r="3" spans="2:44" s="241" customFormat="1" ht="15.75">
      <c r="B3" s="1101" t="str">
        <f>'Sources and Uses'!B2</f>
        <v>Development Team: Insert Team Name</v>
      </c>
      <c r="C3" s="1101"/>
      <c r="D3" s="950"/>
      <c r="I3" s="237"/>
      <c r="J3" s="277"/>
    </row>
    <row r="4" spans="2:44" s="241" customFormat="1" ht="15.75">
      <c r="B4" s="998"/>
      <c r="C4" s="998"/>
      <c r="D4" s="950"/>
      <c r="I4" s="237"/>
      <c r="J4" s="277"/>
    </row>
    <row r="5" spans="2:44" s="241" customFormat="1" ht="15.75">
      <c r="B5" s="242"/>
      <c r="C5" s="503" t="s">
        <v>403</v>
      </c>
      <c r="I5" s="237"/>
      <c r="J5" s="277"/>
    </row>
    <row r="6" spans="2:44" s="241" customFormat="1" ht="16.5" thickBot="1">
      <c r="B6" s="242"/>
      <c r="C6" s="503"/>
      <c r="I6" s="237"/>
      <c r="J6" s="277"/>
    </row>
    <row r="7" spans="2:44" s="22" customFormat="1" ht="17.25" customHeight="1">
      <c r="B7" s="479"/>
      <c r="C7" s="156" t="s">
        <v>40</v>
      </c>
      <c r="D7" s="157"/>
      <c r="E7" s="158" t="s">
        <v>135</v>
      </c>
      <c r="F7" s="159" t="s">
        <v>26</v>
      </c>
      <c r="G7" s="159" t="s">
        <v>27</v>
      </c>
      <c r="H7" s="159" t="s">
        <v>28</v>
      </c>
      <c r="I7" s="159" t="s">
        <v>29</v>
      </c>
      <c r="J7" s="159" t="s">
        <v>30</v>
      </c>
      <c r="K7" s="159" t="s">
        <v>31</v>
      </c>
      <c r="L7" s="159" t="s">
        <v>32</v>
      </c>
      <c r="M7" s="159" t="s">
        <v>33</v>
      </c>
      <c r="N7" s="159" t="s">
        <v>34</v>
      </c>
      <c r="O7" s="159" t="s">
        <v>35</v>
      </c>
      <c r="P7" s="159" t="s">
        <v>41</v>
      </c>
      <c r="Q7" s="159" t="s">
        <v>42</v>
      </c>
      <c r="R7" s="159" t="s">
        <v>91</v>
      </c>
      <c r="S7" s="159" t="s">
        <v>92</v>
      </c>
      <c r="T7" s="185" t="s">
        <v>93</v>
      </c>
      <c r="U7" s="159" t="s">
        <v>95</v>
      </c>
      <c r="V7" s="159" t="s">
        <v>96</v>
      </c>
      <c r="W7" s="159" t="s">
        <v>97</v>
      </c>
      <c r="X7" s="159" t="s">
        <v>98</v>
      </c>
      <c r="Y7" s="159" t="s">
        <v>99</v>
      </c>
      <c r="Z7" s="159" t="s">
        <v>100</v>
      </c>
      <c r="AA7" s="159" t="s">
        <v>101</v>
      </c>
      <c r="AB7" s="159" t="s">
        <v>102</v>
      </c>
      <c r="AC7" s="159" t="s">
        <v>103</v>
      </c>
      <c r="AD7" s="159" t="s">
        <v>104</v>
      </c>
      <c r="AE7" s="159" t="s">
        <v>105</v>
      </c>
      <c r="AF7" s="159" t="s">
        <v>106</v>
      </c>
      <c r="AG7" s="159" t="s">
        <v>107</v>
      </c>
      <c r="AH7" s="159" t="s">
        <v>108</v>
      </c>
      <c r="AI7" s="160" t="s">
        <v>109</v>
      </c>
      <c r="AJ7" s="479"/>
      <c r="AK7" s="95"/>
      <c r="AL7" s="95"/>
      <c r="AM7" s="95"/>
      <c r="AN7" s="95"/>
      <c r="AO7" s="95"/>
      <c r="AP7" s="95"/>
      <c r="AQ7" s="95"/>
      <c r="AR7" s="95"/>
    </row>
    <row r="8" spans="2:44" ht="17.25" customHeight="1">
      <c r="B8" s="480"/>
      <c r="C8" s="82" t="s">
        <v>94</v>
      </c>
      <c r="D8" s="23"/>
      <c r="E8" s="199" t="s">
        <v>156</v>
      </c>
      <c r="F8" s="24"/>
      <c r="G8" s="24"/>
      <c r="H8" s="25" t="s">
        <v>40</v>
      </c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18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7"/>
      <c r="AJ8" s="480"/>
      <c r="AK8" s="96"/>
      <c r="AL8" s="72"/>
      <c r="AM8" s="72"/>
      <c r="AN8" s="72"/>
      <c r="AO8" s="72"/>
      <c r="AP8" s="72"/>
      <c r="AQ8" s="72"/>
      <c r="AR8" s="72"/>
    </row>
    <row r="9" spans="2:44" s="30" customFormat="1">
      <c r="B9" s="480"/>
      <c r="C9" s="83" t="str">
        <f>'Units &amp; Income'!$H$74</f>
        <v>Total Annual Rental Income</v>
      </c>
      <c r="D9" s="28"/>
      <c r="E9" s="200">
        <v>0.02</v>
      </c>
      <c r="F9" s="31">
        <f>'Units &amp; Income'!I74</f>
        <v>0</v>
      </c>
      <c r="G9" s="29">
        <f>F9+(F9*$E9)</f>
        <v>0</v>
      </c>
      <c r="H9" s="29">
        <f t="shared" ref="H9:AI9" si="0">G9+(G9*$E9)</f>
        <v>0</v>
      </c>
      <c r="I9" s="29">
        <f t="shared" si="0"/>
        <v>0</v>
      </c>
      <c r="J9" s="29">
        <f t="shared" si="0"/>
        <v>0</v>
      </c>
      <c r="K9" s="29">
        <f t="shared" si="0"/>
        <v>0</v>
      </c>
      <c r="L9" s="29">
        <f t="shared" si="0"/>
        <v>0</v>
      </c>
      <c r="M9" s="29">
        <f t="shared" si="0"/>
        <v>0</v>
      </c>
      <c r="N9" s="29">
        <f t="shared" si="0"/>
        <v>0</v>
      </c>
      <c r="O9" s="29">
        <f t="shared" si="0"/>
        <v>0</v>
      </c>
      <c r="P9" s="29">
        <f t="shared" si="0"/>
        <v>0</v>
      </c>
      <c r="Q9" s="29">
        <f t="shared" si="0"/>
        <v>0</v>
      </c>
      <c r="R9" s="29">
        <f t="shared" si="0"/>
        <v>0</v>
      </c>
      <c r="S9" s="29">
        <f t="shared" si="0"/>
        <v>0</v>
      </c>
      <c r="T9" s="187">
        <f t="shared" si="0"/>
        <v>0</v>
      </c>
      <c r="U9" s="29">
        <f t="shared" si="0"/>
        <v>0</v>
      </c>
      <c r="V9" s="29">
        <f t="shared" si="0"/>
        <v>0</v>
      </c>
      <c r="W9" s="29">
        <f t="shared" si="0"/>
        <v>0</v>
      </c>
      <c r="X9" s="29">
        <f t="shared" si="0"/>
        <v>0</v>
      </c>
      <c r="Y9" s="29">
        <f t="shared" si="0"/>
        <v>0</v>
      </c>
      <c r="Z9" s="29">
        <f t="shared" si="0"/>
        <v>0</v>
      </c>
      <c r="AA9" s="29">
        <f t="shared" si="0"/>
        <v>0</v>
      </c>
      <c r="AB9" s="29">
        <f t="shared" si="0"/>
        <v>0</v>
      </c>
      <c r="AC9" s="29">
        <f t="shared" si="0"/>
        <v>0</v>
      </c>
      <c r="AD9" s="29">
        <f t="shared" si="0"/>
        <v>0</v>
      </c>
      <c r="AE9" s="29">
        <f t="shared" si="0"/>
        <v>0</v>
      </c>
      <c r="AF9" s="29">
        <f t="shared" si="0"/>
        <v>0</v>
      </c>
      <c r="AG9" s="29">
        <f t="shared" si="0"/>
        <v>0</v>
      </c>
      <c r="AH9" s="29">
        <f t="shared" si="0"/>
        <v>0</v>
      </c>
      <c r="AI9" s="161">
        <f t="shared" si="0"/>
        <v>0</v>
      </c>
      <c r="AJ9" s="489"/>
      <c r="AK9" s="53"/>
      <c r="AL9" s="53"/>
      <c r="AM9" s="53"/>
      <c r="AN9" s="53"/>
      <c r="AO9" s="53"/>
      <c r="AP9" s="53"/>
      <c r="AQ9" s="53"/>
      <c r="AR9" s="53"/>
    </row>
    <row r="10" spans="2:44" s="30" customFormat="1">
      <c r="B10" s="480"/>
      <c r="C10" s="83" t="str">
        <f>'Units &amp; Income'!$B$30</f>
        <v>Parking</v>
      </c>
      <c r="D10" s="28"/>
      <c r="E10" s="200">
        <v>0.02</v>
      </c>
      <c r="F10" s="31">
        <f>'Units &amp; Income'!F30</f>
        <v>0</v>
      </c>
      <c r="G10" s="29">
        <f>F10+(F10*$E10)</f>
        <v>0</v>
      </c>
      <c r="H10" s="29">
        <f t="shared" ref="H10:AI13" si="1">G10+(G10*$E10)</f>
        <v>0</v>
      </c>
      <c r="I10" s="29">
        <f t="shared" si="1"/>
        <v>0</v>
      </c>
      <c r="J10" s="29">
        <f t="shared" si="1"/>
        <v>0</v>
      </c>
      <c r="K10" s="29">
        <f t="shared" si="1"/>
        <v>0</v>
      </c>
      <c r="L10" s="29">
        <f t="shared" si="1"/>
        <v>0</v>
      </c>
      <c r="M10" s="29">
        <f t="shared" si="1"/>
        <v>0</v>
      </c>
      <c r="N10" s="29">
        <f t="shared" si="1"/>
        <v>0</v>
      </c>
      <c r="O10" s="29">
        <f t="shared" si="1"/>
        <v>0</v>
      </c>
      <c r="P10" s="29">
        <f t="shared" si="1"/>
        <v>0</v>
      </c>
      <c r="Q10" s="29">
        <f t="shared" si="1"/>
        <v>0</v>
      </c>
      <c r="R10" s="29">
        <f t="shared" si="1"/>
        <v>0</v>
      </c>
      <c r="S10" s="29">
        <f t="shared" si="1"/>
        <v>0</v>
      </c>
      <c r="T10" s="187">
        <f t="shared" si="1"/>
        <v>0</v>
      </c>
      <c r="U10" s="29">
        <f t="shared" si="1"/>
        <v>0</v>
      </c>
      <c r="V10" s="29">
        <f t="shared" si="1"/>
        <v>0</v>
      </c>
      <c r="W10" s="29">
        <f t="shared" si="1"/>
        <v>0</v>
      </c>
      <c r="X10" s="29">
        <f t="shared" si="1"/>
        <v>0</v>
      </c>
      <c r="Y10" s="29">
        <f t="shared" si="1"/>
        <v>0</v>
      </c>
      <c r="Z10" s="29">
        <f t="shared" si="1"/>
        <v>0</v>
      </c>
      <c r="AA10" s="29">
        <f t="shared" si="1"/>
        <v>0</v>
      </c>
      <c r="AB10" s="29">
        <f t="shared" si="1"/>
        <v>0</v>
      </c>
      <c r="AC10" s="29">
        <f t="shared" si="1"/>
        <v>0</v>
      </c>
      <c r="AD10" s="29">
        <f t="shared" si="1"/>
        <v>0</v>
      </c>
      <c r="AE10" s="29">
        <f t="shared" si="1"/>
        <v>0</v>
      </c>
      <c r="AF10" s="29">
        <f t="shared" si="1"/>
        <v>0</v>
      </c>
      <c r="AG10" s="29">
        <f t="shared" si="1"/>
        <v>0</v>
      </c>
      <c r="AH10" s="29">
        <f t="shared" si="1"/>
        <v>0</v>
      </c>
      <c r="AI10" s="161">
        <f t="shared" si="1"/>
        <v>0</v>
      </c>
      <c r="AJ10" s="489"/>
      <c r="AK10" s="53"/>
      <c r="AL10" s="53"/>
      <c r="AM10" s="53"/>
      <c r="AN10" s="53"/>
      <c r="AO10" s="53"/>
      <c r="AP10" s="53"/>
      <c r="AQ10" s="53"/>
      <c r="AR10" s="53"/>
    </row>
    <row r="11" spans="2:44" s="30" customFormat="1">
      <c r="B11" s="480"/>
      <c r="C11" s="83" t="str">
        <f>'Units &amp; Income'!$B$33</f>
        <v>Commercial</v>
      </c>
      <c r="D11" s="28"/>
      <c r="E11" s="200">
        <v>0.02</v>
      </c>
      <c r="F11" s="31">
        <f>'Units &amp; Income'!F33</f>
        <v>0</v>
      </c>
      <c r="G11" s="29">
        <f t="shared" ref="G11:G13" si="2">F11+(F11*$E11)</f>
        <v>0</v>
      </c>
      <c r="H11" s="29">
        <f t="shared" si="1"/>
        <v>0</v>
      </c>
      <c r="I11" s="29">
        <f t="shared" si="1"/>
        <v>0</v>
      </c>
      <c r="J11" s="29">
        <f t="shared" si="1"/>
        <v>0</v>
      </c>
      <c r="K11" s="29">
        <f t="shared" si="1"/>
        <v>0</v>
      </c>
      <c r="L11" s="29">
        <f t="shared" si="1"/>
        <v>0</v>
      </c>
      <c r="M11" s="29">
        <f t="shared" si="1"/>
        <v>0</v>
      </c>
      <c r="N11" s="29">
        <f t="shared" si="1"/>
        <v>0</v>
      </c>
      <c r="O11" s="29">
        <f t="shared" si="1"/>
        <v>0</v>
      </c>
      <c r="P11" s="29">
        <f t="shared" si="1"/>
        <v>0</v>
      </c>
      <c r="Q11" s="29">
        <f t="shared" si="1"/>
        <v>0</v>
      </c>
      <c r="R11" s="29">
        <f t="shared" si="1"/>
        <v>0</v>
      </c>
      <c r="S11" s="29">
        <f t="shared" si="1"/>
        <v>0</v>
      </c>
      <c r="T11" s="187">
        <f t="shared" si="1"/>
        <v>0</v>
      </c>
      <c r="U11" s="29">
        <f t="shared" si="1"/>
        <v>0</v>
      </c>
      <c r="V11" s="29">
        <f t="shared" si="1"/>
        <v>0</v>
      </c>
      <c r="W11" s="29">
        <f t="shared" si="1"/>
        <v>0</v>
      </c>
      <c r="X11" s="29">
        <f t="shared" si="1"/>
        <v>0</v>
      </c>
      <c r="Y11" s="29">
        <f t="shared" si="1"/>
        <v>0</v>
      </c>
      <c r="Z11" s="29">
        <f t="shared" si="1"/>
        <v>0</v>
      </c>
      <c r="AA11" s="29">
        <f t="shared" si="1"/>
        <v>0</v>
      </c>
      <c r="AB11" s="29">
        <f t="shared" si="1"/>
        <v>0</v>
      </c>
      <c r="AC11" s="29">
        <f t="shared" si="1"/>
        <v>0</v>
      </c>
      <c r="AD11" s="29">
        <f t="shared" si="1"/>
        <v>0</v>
      </c>
      <c r="AE11" s="29">
        <f t="shared" si="1"/>
        <v>0</v>
      </c>
      <c r="AF11" s="29">
        <f t="shared" si="1"/>
        <v>0</v>
      </c>
      <c r="AG11" s="29">
        <f t="shared" si="1"/>
        <v>0</v>
      </c>
      <c r="AH11" s="29">
        <f t="shared" si="1"/>
        <v>0</v>
      </c>
      <c r="AI11" s="161">
        <f t="shared" si="1"/>
        <v>0</v>
      </c>
      <c r="AJ11" s="485"/>
      <c r="AK11" s="50">
        <f t="shared" ref="AK11" si="3">AJ11+(AJ11*$E$11)</f>
        <v>0</v>
      </c>
      <c r="AL11" s="53"/>
      <c r="AM11" s="53"/>
      <c r="AN11" s="53"/>
      <c r="AO11" s="53"/>
      <c r="AP11" s="53"/>
      <c r="AQ11" s="53"/>
      <c r="AR11" s="53"/>
    </row>
    <row r="12" spans="2:44" s="30" customFormat="1" ht="17.25" customHeight="1">
      <c r="B12" s="480"/>
      <c r="C12" s="83" t="str">
        <f>'Units &amp; Income'!$B$35</f>
        <v>Community Facility</v>
      </c>
      <c r="D12" s="28"/>
      <c r="E12" s="200">
        <v>0.02</v>
      </c>
      <c r="F12" s="31">
        <f>'Units &amp; Income'!F35</f>
        <v>0</v>
      </c>
      <c r="G12" s="29">
        <f t="shared" si="2"/>
        <v>0</v>
      </c>
      <c r="H12" s="29">
        <f t="shared" si="1"/>
        <v>0</v>
      </c>
      <c r="I12" s="29">
        <f t="shared" si="1"/>
        <v>0</v>
      </c>
      <c r="J12" s="29">
        <f t="shared" si="1"/>
        <v>0</v>
      </c>
      <c r="K12" s="29">
        <f t="shared" si="1"/>
        <v>0</v>
      </c>
      <c r="L12" s="29">
        <f t="shared" si="1"/>
        <v>0</v>
      </c>
      <c r="M12" s="29">
        <f t="shared" si="1"/>
        <v>0</v>
      </c>
      <c r="N12" s="29">
        <f t="shared" si="1"/>
        <v>0</v>
      </c>
      <c r="O12" s="29">
        <f t="shared" si="1"/>
        <v>0</v>
      </c>
      <c r="P12" s="29">
        <f t="shared" si="1"/>
        <v>0</v>
      </c>
      <c r="Q12" s="29">
        <f t="shared" si="1"/>
        <v>0</v>
      </c>
      <c r="R12" s="29">
        <f t="shared" si="1"/>
        <v>0</v>
      </c>
      <c r="S12" s="29">
        <f t="shared" si="1"/>
        <v>0</v>
      </c>
      <c r="T12" s="187">
        <f t="shared" si="1"/>
        <v>0</v>
      </c>
      <c r="U12" s="29">
        <f t="shared" si="1"/>
        <v>0</v>
      </c>
      <c r="V12" s="29">
        <f t="shared" si="1"/>
        <v>0</v>
      </c>
      <c r="W12" s="29">
        <f t="shared" si="1"/>
        <v>0</v>
      </c>
      <c r="X12" s="29">
        <f t="shared" si="1"/>
        <v>0</v>
      </c>
      <c r="Y12" s="29">
        <f t="shared" si="1"/>
        <v>0</v>
      </c>
      <c r="Z12" s="29">
        <f t="shared" si="1"/>
        <v>0</v>
      </c>
      <c r="AA12" s="29">
        <f t="shared" si="1"/>
        <v>0</v>
      </c>
      <c r="AB12" s="29">
        <f t="shared" si="1"/>
        <v>0</v>
      </c>
      <c r="AC12" s="29">
        <f t="shared" si="1"/>
        <v>0</v>
      </c>
      <c r="AD12" s="29">
        <f t="shared" si="1"/>
        <v>0</v>
      </c>
      <c r="AE12" s="29">
        <f t="shared" si="1"/>
        <v>0</v>
      </c>
      <c r="AF12" s="29">
        <f t="shared" si="1"/>
        <v>0</v>
      </c>
      <c r="AG12" s="29">
        <f t="shared" si="1"/>
        <v>0</v>
      </c>
      <c r="AH12" s="29">
        <f t="shared" si="1"/>
        <v>0</v>
      </c>
      <c r="AI12" s="161">
        <f t="shared" si="1"/>
        <v>0</v>
      </c>
      <c r="AJ12" s="485"/>
      <c r="AK12" s="50"/>
      <c r="AL12" s="53"/>
      <c r="AM12" s="53"/>
      <c r="AN12" s="53"/>
      <c r="AO12" s="53"/>
      <c r="AP12" s="53"/>
      <c r="AQ12" s="53"/>
      <c r="AR12" s="53"/>
    </row>
    <row r="13" spans="2:44" s="30" customFormat="1">
      <c r="B13" s="480"/>
      <c r="C13" s="84" t="str">
        <f>'Units &amp; Income'!$B$38</f>
        <v>Laundry</v>
      </c>
      <c r="D13" s="28"/>
      <c r="E13" s="200">
        <v>0.02</v>
      </c>
      <c r="F13" s="31">
        <f>'Units &amp; Income'!F38</f>
        <v>0</v>
      </c>
      <c r="G13" s="29">
        <f t="shared" si="2"/>
        <v>0</v>
      </c>
      <c r="H13" s="29">
        <f t="shared" si="1"/>
        <v>0</v>
      </c>
      <c r="I13" s="29">
        <f t="shared" si="1"/>
        <v>0</v>
      </c>
      <c r="J13" s="29">
        <f t="shared" si="1"/>
        <v>0</v>
      </c>
      <c r="K13" s="29">
        <f t="shared" si="1"/>
        <v>0</v>
      </c>
      <c r="L13" s="29">
        <f t="shared" si="1"/>
        <v>0</v>
      </c>
      <c r="M13" s="29">
        <f t="shared" si="1"/>
        <v>0</v>
      </c>
      <c r="N13" s="29">
        <f t="shared" si="1"/>
        <v>0</v>
      </c>
      <c r="O13" s="29">
        <f t="shared" si="1"/>
        <v>0</v>
      </c>
      <c r="P13" s="29">
        <f t="shared" si="1"/>
        <v>0</v>
      </c>
      <c r="Q13" s="29">
        <f t="shared" si="1"/>
        <v>0</v>
      </c>
      <c r="R13" s="29">
        <f t="shared" si="1"/>
        <v>0</v>
      </c>
      <c r="S13" s="29">
        <f t="shared" si="1"/>
        <v>0</v>
      </c>
      <c r="T13" s="187">
        <f t="shared" si="1"/>
        <v>0</v>
      </c>
      <c r="U13" s="29">
        <f t="shared" si="1"/>
        <v>0</v>
      </c>
      <c r="V13" s="29">
        <f t="shared" si="1"/>
        <v>0</v>
      </c>
      <c r="W13" s="29">
        <f t="shared" si="1"/>
        <v>0</v>
      </c>
      <c r="X13" s="29">
        <f t="shared" si="1"/>
        <v>0</v>
      </c>
      <c r="Y13" s="29">
        <f t="shared" si="1"/>
        <v>0</v>
      </c>
      <c r="Z13" s="29">
        <f t="shared" si="1"/>
        <v>0</v>
      </c>
      <c r="AA13" s="29">
        <f t="shared" si="1"/>
        <v>0</v>
      </c>
      <c r="AB13" s="29">
        <f t="shared" si="1"/>
        <v>0</v>
      </c>
      <c r="AC13" s="29">
        <f t="shared" si="1"/>
        <v>0</v>
      </c>
      <c r="AD13" s="29">
        <f t="shared" si="1"/>
        <v>0</v>
      </c>
      <c r="AE13" s="29">
        <f t="shared" si="1"/>
        <v>0</v>
      </c>
      <c r="AF13" s="29">
        <f t="shared" si="1"/>
        <v>0</v>
      </c>
      <c r="AG13" s="29">
        <f t="shared" si="1"/>
        <v>0</v>
      </c>
      <c r="AH13" s="29">
        <f t="shared" si="1"/>
        <v>0</v>
      </c>
      <c r="AI13" s="161">
        <f t="shared" si="1"/>
        <v>0</v>
      </c>
      <c r="AJ13" s="485"/>
      <c r="AK13" s="50"/>
      <c r="AL13" s="53"/>
      <c r="AM13" s="53"/>
      <c r="AN13" s="53"/>
      <c r="AO13" s="53"/>
      <c r="AP13" s="53"/>
      <c r="AQ13" s="53"/>
      <c r="AR13" s="53"/>
    </row>
    <row r="14" spans="2:44" s="30" customFormat="1" ht="17.25" customHeight="1">
      <c r="B14" s="480"/>
      <c r="C14" s="85" t="s">
        <v>209</v>
      </c>
      <c r="D14" s="34"/>
      <c r="E14" s="87"/>
      <c r="F14" s="35">
        <f t="shared" ref="F14:AI14" si="4">SUM(F9:F13)</f>
        <v>0</v>
      </c>
      <c r="G14" s="35">
        <f t="shared" si="4"/>
        <v>0</v>
      </c>
      <c r="H14" s="35">
        <f t="shared" si="4"/>
        <v>0</v>
      </c>
      <c r="I14" s="35">
        <f t="shared" si="4"/>
        <v>0</v>
      </c>
      <c r="J14" s="35">
        <f t="shared" si="4"/>
        <v>0</v>
      </c>
      <c r="K14" s="35">
        <f t="shared" si="4"/>
        <v>0</v>
      </c>
      <c r="L14" s="35">
        <f t="shared" si="4"/>
        <v>0</v>
      </c>
      <c r="M14" s="35">
        <f t="shared" si="4"/>
        <v>0</v>
      </c>
      <c r="N14" s="35">
        <f t="shared" si="4"/>
        <v>0</v>
      </c>
      <c r="O14" s="35">
        <f t="shared" si="4"/>
        <v>0</v>
      </c>
      <c r="P14" s="35">
        <f t="shared" si="4"/>
        <v>0</v>
      </c>
      <c r="Q14" s="35">
        <f t="shared" si="4"/>
        <v>0</v>
      </c>
      <c r="R14" s="35">
        <f t="shared" si="4"/>
        <v>0</v>
      </c>
      <c r="S14" s="35">
        <f t="shared" si="4"/>
        <v>0</v>
      </c>
      <c r="T14" s="188">
        <f t="shared" si="4"/>
        <v>0</v>
      </c>
      <c r="U14" s="35">
        <f t="shared" si="4"/>
        <v>0</v>
      </c>
      <c r="V14" s="35">
        <f t="shared" si="4"/>
        <v>0</v>
      </c>
      <c r="W14" s="35">
        <f t="shared" si="4"/>
        <v>0</v>
      </c>
      <c r="X14" s="35">
        <f t="shared" si="4"/>
        <v>0</v>
      </c>
      <c r="Y14" s="35">
        <f t="shared" si="4"/>
        <v>0</v>
      </c>
      <c r="Z14" s="35">
        <f t="shared" si="4"/>
        <v>0</v>
      </c>
      <c r="AA14" s="35">
        <f t="shared" si="4"/>
        <v>0</v>
      </c>
      <c r="AB14" s="35">
        <f t="shared" si="4"/>
        <v>0</v>
      </c>
      <c r="AC14" s="35">
        <f t="shared" si="4"/>
        <v>0</v>
      </c>
      <c r="AD14" s="35">
        <f t="shared" si="4"/>
        <v>0</v>
      </c>
      <c r="AE14" s="35">
        <f t="shared" si="4"/>
        <v>0</v>
      </c>
      <c r="AF14" s="35">
        <f t="shared" si="4"/>
        <v>0</v>
      </c>
      <c r="AG14" s="35">
        <f t="shared" si="4"/>
        <v>0</v>
      </c>
      <c r="AH14" s="35">
        <f t="shared" si="4"/>
        <v>0</v>
      </c>
      <c r="AI14" s="36">
        <f t="shared" si="4"/>
        <v>0</v>
      </c>
      <c r="AJ14" s="489"/>
      <c r="AK14" s="53"/>
      <c r="AL14" s="53"/>
      <c r="AM14" s="53"/>
      <c r="AN14" s="53"/>
      <c r="AO14" s="53"/>
      <c r="AP14" s="53"/>
      <c r="AQ14" s="53"/>
      <c r="AR14" s="53"/>
    </row>
    <row r="15" spans="2:44" s="30" customFormat="1" ht="17.25" customHeight="1">
      <c r="B15" s="480"/>
      <c r="C15" s="82" t="s">
        <v>128</v>
      </c>
      <c r="D15" s="28"/>
      <c r="E15" s="93"/>
      <c r="F15" s="29"/>
      <c r="G15" s="29"/>
      <c r="H15" s="37"/>
      <c r="I15" s="38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180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9"/>
      <c r="AJ15" s="489"/>
      <c r="AK15" s="53"/>
      <c r="AL15" s="53"/>
      <c r="AM15" s="53"/>
      <c r="AN15" s="53"/>
      <c r="AO15" s="53"/>
      <c r="AP15" s="53"/>
      <c r="AQ15" s="53"/>
      <c r="AR15" s="53"/>
    </row>
    <row r="16" spans="2:44" s="30" customFormat="1">
      <c r="B16" s="480"/>
      <c r="C16" s="83" t="str">
        <f>'Units &amp; Income'!$H$74</f>
        <v>Total Annual Rental Income</v>
      </c>
      <c r="D16" s="32"/>
      <c r="E16" s="201">
        <f>Mortgage!C16</f>
        <v>0.05</v>
      </c>
      <c r="F16" s="29">
        <f>-SUM(F9*E16)</f>
        <v>0</v>
      </c>
      <c r="G16" s="29">
        <f t="shared" ref="G16:AI16" si="5">-SUM(G9*$E$16)</f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5"/>
        <v>0</v>
      </c>
      <c r="O16" s="29">
        <f t="shared" si="5"/>
        <v>0</v>
      </c>
      <c r="P16" s="29">
        <f t="shared" si="5"/>
        <v>0</v>
      </c>
      <c r="Q16" s="29">
        <f t="shared" si="5"/>
        <v>0</v>
      </c>
      <c r="R16" s="29">
        <f t="shared" si="5"/>
        <v>0</v>
      </c>
      <c r="S16" s="29">
        <f t="shared" si="5"/>
        <v>0</v>
      </c>
      <c r="T16" s="187">
        <f t="shared" si="5"/>
        <v>0</v>
      </c>
      <c r="U16" s="29">
        <f t="shared" si="5"/>
        <v>0</v>
      </c>
      <c r="V16" s="29">
        <f t="shared" si="5"/>
        <v>0</v>
      </c>
      <c r="W16" s="29">
        <f t="shared" si="5"/>
        <v>0</v>
      </c>
      <c r="X16" s="29">
        <f t="shared" si="5"/>
        <v>0</v>
      </c>
      <c r="Y16" s="29">
        <f t="shared" si="5"/>
        <v>0</v>
      </c>
      <c r="Z16" s="29">
        <f t="shared" si="5"/>
        <v>0</v>
      </c>
      <c r="AA16" s="29">
        <f t="shared" si="5"/>
        <v>0</v>
      </c>
      <c r="AB16" s="29">
        <f t="shared" si="5"/>
        <v>0</v>
      </c>
      <c r="AC16" s="29">
        <f t="shared" si="5"/>
        <v>0</v>
      </c>
      <c r="AD16" s="29">
        <f t="shared" si="5"/>
        <v>0</v>
      </c>
      <c r="AE16" s="29">
        <f t="shared" si="5"/>
        <v>0</v>
      </c>
      <c r="AF16" s="29">
        <f t="shared" si="5"/>
        <v>0</v>
      </c>
      <c r="AG16" s="29">
        <f t="shared" si="5"/>
        <v>0</v>
      </c>
      <c r="AH16" s="29">
        <f t="shared" si="5"/>
        <v>0</v>
      </c>
      <c r="AI16" s="161">
        <f t="shared" si="5"/>
        <v>0</v>
      </c>
      <c r="AJ16" s="489"/>
      <c r="AK16" s="53"/>
      <c r="AL16" s="53"/>
      <c r="AM16" s="53"/>
      <c r="AN16" s="53"/>
      <c r="AO16" s="53"/>
      <c r="AP16" s="53"/>
      <c r="AQ16" s="53"/>
      <c r="AR16" s="53"/>
    </row>
    <row r="17" spans="2:44" s="30" customFormat="1">
      <c r="B17" s="480"/>
      <c r="C17" s="83" t="str">
        <f>'Units &amp; Income'!$B$30</f>
        <v>Parking</v>
      </c>
      <c r="D17" s="21"/>
      <c r="E17" s="202">
        <f>Mortgage!C17</f>
        <v>0.1</v>
      </c>
      <c r="F17" s="29">
        <f>-SUM(F10*E17)</f>
        <v>0</v>
      </c>
      <c r="G17" s="29">
        <f t="shared" ref="G17:AI17" si="6">-SUM(G10*$E$17)</f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6"/>
        <v>0</v>
      </c>
      <c r="O17" s="29">
        <f t="shared" si="6"/>
        <v>0</v>
      </c>
      <c r="P17" s="29">
        <f t="shared" si="6"/>
        <v>0</v>
      </c>
      <c r="Q17" s="29">
        <f t="shared" si="6"/>
        <v>0</v>
      </c>
      <c r="R17" s="29">
        <f t="shared" si="6"/>
        <v>0</v>
      </c>
      <c r="S17" s="29">
        <f t="shared" si="6"/>
        <v>0</v>
      </c>
      <c r="T17" s="187">
        <f t="shared" si="6"/>
        <v>0</v>
      </c>
      <c r="U17" s="29">
        <f t="shared" si="6"/>
        <v>0</v>
      </c>
      <c r="V17" s="29">
        <f t="shared" si="6"/>
        <v>0</v>
      </c>
      <c r="W17" s="29">
        <f t="shared" si="6"/>
        <v>0</v>
      </c>
      <c r="X17" s="29">
        <f t="shared" si="6"/>
        <v>0</v>
      </c>
      <c r="Y17" s="29">
        <f t="shared" si="6"/>
        <v>0</v>
      </c>
      <c r="Z17" s="29">
        <f t="shared" si="6"/>
        <v>0</v>
      </c>
      <c r="AA17" s="29">
        <f t="shared" si="6"/>
        <v>0</v>
      </c>
      <c r="AB17" s="29">
        <f t="shared" si="6"/>
        <v>0</v>
      </c>
      <c r="AC17" s="29">
        <f t="shared" si="6"/>
        <v>0</v>
      </c>
      <c r="AD17" s="29">
        <f t="shared" si="6"/>
        <v>0</v>
      </c>
      <c r="AE17" s="29">
        <f t="shared" si="6"/>
        <v>0</v>
      </c>
      <c r="AF17" s="29">
        <f t="shared" si="6"/>
        <v>0</v>
      </c>
      <c r="AG17" s="29">
        <f t="shared" si="6"/>
        <v>0</v>
      </c>
      <c r="AH17" s="29">
        <f t="shared" si="6"/>
        <v>0</v>
      </c>
      <c r="AI17" s="161">
        <f t="shared" si="6"/>
        <v>0</v>
      </c>
      <c r="AJ17" s="489"/>
      <c r="AK17" s="53"/>
      <c r="AL17" s="53"/>
      <c r="AM17" s="53"/>
      <c r="AN17" s="53"/>
      <c r="AO17" s="53"/>
      <c r="AP17" s="53"/>
      <c r="AQ17" s="53"/>
      <c r="AR17" s="53"/>
    </row>
    <row r="18" spans="2:44" s="30" customFormat="1">
      <c r="B18" s="480"/>
      <c r="C18" s="83" t="str">
        <f>'Units &amp; Income'!$B$33</f>
        <v>Commercial</v>
      </c>
      <c r="D18" s="21"/>
      <c r="E18" s="202">
        <f>Mortgage!C18</f>
        <v>0.1</v>
      </c>
      <c r="F18" s="29">
        <f>-SUM(F11*E18)</f>
        <v>0</v>
      </c>
      <c r="G18" s="29">
        <f t="shared" ref="G18:AI18" si="7">-SUM(G11*$E$18)</f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7"/>
        <v>0</v>
      </c>
      <c r="O18" s="29">
        <f t="shared" si="7"/>
        <v>0</v>
      </c>
      <c r="P18" s="29">
        <f t="shared" si="7"/>
        <v>0</v>
      </c>
      <c r="Q18" s="29">
        <f t="shared" si="7"/>
        <v>0</v>
      </c>
      <c r="R18" s="29">
        <f t="shared" si="7"/>
        <v>0</v>
      </c>
      <c r="S18" s="29">
        <f t="shared" si="7"/>
        <v>0</v>
      </c>
      <c r="T18" s="187">
        <f t="shared" si="7"/>
        <v>0</v>
      </c>
      <c r="U18" s="29">
        <f t="shared" si="7"/>
        <v>0</v>
      </c>
      <c r="V18" s="29">
        <f t="shared" si="7"/>
        <v>0</v>
      </c>
      <c r="W18" s="29">
        <f t="shared" si="7"/>
        <v>0</v>
      </c>
      <c r="X18" s="29">
        <f t="shared" si="7"/>
        <v>0</v>
      </c>
      <c r="Y18" s="29">
        <f t="shared" si="7"/>
        <v>0</v>
      </c>
      <c r="Z18" s="29">
        <f t="shared" si="7"/>
        <v>0</v>
      </c>
      <c r="AA18" s="29">
        <f t="shared" si="7"/>
        <v>0</v>
      </c>
      <c r="AB18" s="29">
        <f t="shared" si="7"/>
        <v>0</v>
      </c>
      <c r="AC18" s="29">
        <f t="shared" si="7"/>
        <v>0</v>
      </c>
      <c r="AD18" s="29">
        <f t="shared" si="7"/>
        <v>0</v>
      </c>
      <c r="AE18" s="29">
        <f t="shared" si="7"/>
        <v>0</v>
      </c>
      <c r="AF18" s="29">
        <f t="shared" si="7"/>
        <v>0</v>
      </c>
      <c r="AG18" s="29">
        <f t="shared" si="7"/>
        <v>0</v>
      </c>
      <c r="AH18" s="29">
        <f t="shared" si="7"/>
        <v>0</v>
      </c>
      <c r="AI18" s="161">
        <f t="shared" si="7"/>
        <v>0</v>
      </c>
      <c r="AJ18" s="489"/>
      <c r="AK18" s="53"/>
      <c r="AL18" s="53"/>
      <c r="AM18" s="53"/>
      <c r="AN18" s="53"/>
      <c r="AO18" s="53"/>
      <c r="AP18" s="53"/>
      <c r="AQ18" s="53"/>
      <c r="AR18" s="53"/>
    </row>
    <row r="19" spans="2:44" s="30" customFormat="1" ht="17.25" customHeight="1">
      <c r="B19" s="480"/>
      <c r="C19" s="83" t="str">
        <f>'Units &amp; Income'!$B$35</f>
        <v>Community Facility</v>
      </c>
      <c r="D19" s="21"/>
      <c r="E19" s="202">
        <f>Mortgage!C19</f>
        <v>0.1</v>
      </c>
      <c r="F19" s="29">
        <f>-SUM(F12*E19)</f>
        <v>0</v>
      </c>
      <c r="G19" s="29">
        <f t="shared" ref="G19:AI19" si="8">-SUM(G12*$E$19)</f>
        <v>0</v>
      </c>
      <c r="H19" s="29">
        <f t="shared" si="8"/>
        <v>0</v>
      </c>
      <c r="I19" s="29">
        <f t="shared" si="8"/>
        <v>0</v>
      </c>
      <c r="J19" s="29">
        <f t="shared" si="8"/>
        <v>0</v>
      </c>
      <c r="K19" s="29">
        <f t="shared" si="8"/>
        <v>0</v>
      </c>
      <c r="L19" s="29">
        <f t="shared" si="8"/>
        <v>0</v>
      </c>
      <c r="M19" s="29">
        <f t="shared" si="8"/>
        <v>0</v>
      </c>
      <c r="N19" s="29">
        <f t="shared" si="8"/>
        <v>0</v>
      </c>
      <c r="O19" s="29">
        <f t="shared" si="8"/>
        <v>0</v>
      </c>
      <c r="P19" s="29">
        <f t="shared" si="8"/>
        <v>0</v>
      </c>
      <c r="Q19" s="29">
        <f t="shared" si="8"/>
        <v>0</v>
      </c>
      <c r="R19" s="29">
        <f t="shared" si="8"/>
        <v>0</v>
      </c>
      <c r="S19" s="29">
        <f t="shared" si="8"/>
        <v>0</v>
      </c>
      <c r="T19" s="187">
        <f t="shared" si="8"/>
        <v>0</v>
      </c>
      <c r="U19" s="29">
        <f t="shared" si="8"/>
        <v>0</v>
      </c>
      <c r="V19" s="29">
        <f t="shared" si="8"/>
        <v>0</v>
      </c>
      <c r="W19" s="29">
        <f t="shared" si="8"/>
        <v>0</v>
      </c>
      <c r="X19" s="29">
        <f t="shared" si="8"/>
        <v>0</v>
      </c>
      <c r="Y19" s="29">
        <f t="shared" si="8"/>
        <v>0</v>
      </c>
      <c r="Z19" s="29">
        <f t="shared" si="8"/>
        <v>0</v>
      </c>
      <c r="AA19" s="29">
        <f t="shared" si="8"/>
        <v>0</v>
      </c>
      <c r="AB19" s="29">
        <f t="shared" si="8"/>
        <v>0</v>
      </c>
      <c r="AC19" s="29">
        <f t="shared" si="8"/>
        <v>0</v>
      </c>
      <c r="AD19" s="29">
        <f t="shared" si="8"/>
        <v>0</v>
      </c>
      <c r="AE19" s="29">
        <f t="shared" si="8"/>
        <v>0</v>
      </c>
      <c r="AF19" s="29">
        <f t="shared" si="8"/>
        <v>0</v>
      </c>
      <c r="AG19" s="29">
        <f t="shared" si="8"/>
        <v>0</v>
      </c>
      <c r="AH19" s="29">
        <f t="shared" si="8"/>
        <v>0</v>
      </c>
      <c r="AI19" s="161">
        <f t="shared" si="8"/>
        <v>0</v>
      </c>
      <c r="AJ19" s="489"/>
      <c r="AK19" s="53"/>
      <c r="AL19" s="53"/>
      <c r="AM19" s="53"/>
      <c r="AN19" s="53"/>
      <c r="AO19" s="53"/>
      <c r="AP19" s="53"/>
      <c r="AQ19" s="53"/>
      <c r="AR19" s="53"/>
    </row>
    <row r="20" spans="2:44" s="30" customFormat="1">
      <c r="B20" s="480"/>
      <c r="C20" s="84" t="str">
        <f>'Units &amp; Income'!$B$38</f>
        <v>Laundry</v>
      </c>
      <c r="D20" s="21"/>
      <c r="E20" s="201">
        <f>Mortgage!C20</f>
        <v>0.1</v>
      </c>
      <c r="F20" s="29">
        <f>-SUM(F13*E20)</f>
        <v>0</v>
      </c>
      <c r="G20" s="29">
        <f t="shared" ref="G20:AI20" si="9">-SUM(G13*$E$20)</f>
        <v>0</v>
      </c>
      <c r="H20" s="29">
        <f t="shared" si="9"/>
        <v>0</v>
      </c>
      <c r="I20" s="29">
        <f t="shared" si="9"/>
        <v>0</v>
      </c>
      <c r="J20" s="29">
        <f t="shared" si="9"/>
        <v>0</v>
      </c>
      <c r="K20" s="29">
        <f t="shared" si="9"/>
        <v>0</v>
      </c>
      <c r="L20" s="29">
        <f t="shared" si="9"/>
        <v>0</v>
      </c>
      <c r="M20" s="29">
        <f t="shared" si="9"/>
        <v>0</v>
      </c>
      <c r="N20" s="29">
        <f t="shared" si="9"/>
        <v>0</v>
      </c>
      <c r="O20" s="29">
        <f t="shared" si="9"/>
        <v>0</v>
      </c>
      <c r="P20" s="29">
        <f t="shared" si="9"/>
        <v>0</v>
      </c>
      <c r="Q20" s="29">
        <f t="shared" si="9"/>
        <v>0</v>
      </c>
      <c r="R20" s="29">
        <f t="shared" si="9"/>
        <v>0</v>
      </c>
      <c r="S20" s="29">
        <f t="shared" si="9"/>
        <v>0</v>
      </c>
      <c r="T20" s="187">
        <f t="shared" si="9"/>
        <v>0</v>
      </c>
      <c r="U20" s="29">
        <f t="shared" si="9"/>
        <v>0</v>
      </c>
      <c r="V20" s="29">
        <f t="shared" si="9"/>
        <v>0</v>
      </c>
      <c r="W20" s="29">
        <f t="shared" si="9"/>
        <v>0</v>
      </c>
      <c r="X20" s="29">
        <f t="shared" si="9"/>
        <v>0</v>
      </c>
      <c r="Y20" s="29">
        <f t="shared" si="9"/>
        <v>0</v>
      </c>
      <c r="Z20" s="29">
        <f t="shared" si="9"/>
        <v>0</v>
      </c>
      <c r="AA20" s="29">
        <f t="shared" si="9"/>
        <v>0</v>
      </c>
      <c r="AB20" s="29">
        <f t="shared" si="9"/>
        <v>0</v>
      </c>
      <c r="AC20" s="29">
        <f t="shared" si="9"/>
        <v>0</v>
      </c>
      <c r="AD20" s="29">
        <f t="shared" si="9"/>
        <v>0</v>
      </c>
      <c r="AE20" s="29">
        <f t="shared" si="9"/>
        <v>0</v>
      </c>
      <c r="AF20" s="29">
        <f t="shared" si="9"/>
        <v>0</v>
      </c>
      <c r="AG20" s="29">
        <f t="shared" si="9"/>
        <v>0</v>
      </c>
      <c r="AH20" s="29">
        <f t="shared" si="9"/>
        <v>0</v>
      </c>
      <c r="AI20" s="161">
        <f t="shared" si="9"/>
        <v>0</v>
      </c>
      <c r="AJ20" s="489"/>
      <c r="AK20" s="53"/>
      <c r="AL20" s="53"/>
      <c r="AM20" s="53"/>
      <c r="AN20" s="53"/>
      <c r="AO20" s="53"/>
      <c r="AP20" s="53"/>
      <c r="AQ20" s="53"/>
      <c r="AR20" s="53"/>
    </row>
    <row r="21" spans="2:44" s="30" customFormat="1" ht="17.25" customHeight="1">
      <c r="B21" s="480"/>
      <c r="C21" s="85" t="s">
        <v>210</v>
      </c>
      <c r="D21" s="44"/>
      <c r="E21" s="88"/>
      <c r="F21" s="45">
        <f t="shared" ref="F21:AI21" si="10">SUM(F16:F20)</f>
        <v>0</v>
      </c>
      <c r="G21" s="46">
        <f t="shared" si="10"/>
        <v>0</v>
      </c>
      <c r="H21" s="46">
        <f t="shared" si="10"/>
        <v>0</v>
      </c>
      <c r="I21" s="46">
        <f t="shared" si="10"/>
        <v>0</v>
      </c>
      <c r="J21" s="46">
        <f t="shared" si="10"/>
        <v>0</v>
      </c>
      <c r="K21" s="46">
        <f t="shared" si="10"/>
        <v>0</v>
      </c>
      <c r="L21" s="46">
        <f t="shared" si="10"/>
        <v>0</v>
      </c>
      <c r="M21" s="46">
        <f t="shared" si="10"/>
        <v>0</v>
      </c>
      <c r="N21" s="46">
        <f t="shared" si="10"/>
        <v>0</v>
      </c>
      <c r="O21" s="46">
        <f t="shared" si="10"/>
        <v>0</v>
      </c>
      <c r="P21" s="46">
        <f t="shared" si="10"/>
        <v>0</v>
      </c>
      <c r="Q21" s="46">
        <f t="shared" si="10"/>
        <v>0</v>
      </c>
      <c r="R21" s="46">
        <f t="shared" si="10"/>
        <v>0</v>
      </c>
      <c r="S21" s="46">
        <f t="shared" si="10"/>
        <v>0</v>
      </c>
      <c r="T21" s="189">
        <f t="shared" si="10"/>
        <v>0</v>
      </c>
      <c r="U21" s="46">
        <f t="shared" si="10"/>
        <v>0</v>
      </c>
      <c r="V21" s="46">
        <f t="shared" si="10"/>
        <v>0</v>
      </c>
      <c r="W21" s="46">
        <f t="shared" si="10"/>
        <v>0</v>
      </c>
      <c r="X21" s="46">
        <f t="shared" si="10"/>
        <v>0</v>
      </c>
      <c r="Y21" s="46">
        <f t="shared" si="10"/>
        <v>0</v>
      </c>
      <c r="Z21" s="46">
        <f t="shared" si="10"/>
        <v>0</v>
      </c>
      <c r="AA21" s="46">
        <f t="shared" si="10"/>
        <v>0</v>
      </c>
      <c r="AB21" s="46">
        <f t="shared" si="10"/>
        <v>0</v>
      </c>
      <c r="AC21" s="46">
        <f t="shared" si="10"/>
        <v>0</v>
      </c>
      <c r="AD21" s="46">
        <f t="shared" si="10"/>
        <v>0</v>
      </c>
      <c r="AE21" s="46">
        <f t="shared" si="10"/>
        <v>0</v>
      </c>
      <c r="AF21" s="46">
        <f t="shared" si="10"/>
        <v>0</v>
      </c>
      <c r="AG21" s="46">
        <f t="shared" si="10"/>
        <v>0</v>
      </c>
      <c r="AH21" s="46">
        <f t="shared" si="10"/>
        <v>0</v>
      </c>
      <c r="AI21" s="47">
        <f t="shared" si="10"/>
        <v>0</v>
      </c>
      <c r="AJ21" s="489"/>
      <c r="AK21" s="53"/>
      <c r="AL21" s="53"/>
      <c r="AM21" s="53"/>
      <c r="AN21" s="53"/>
      <c r="AO21" s="53"/>
      <c r="AP21" s="53"/>
      <c r="AQ21" s="53"/>
      <c r="AR21" s="53"/>
    </row>
    <row r="22" spans="2:44" s="49" customFormat="1" ht="17.25" customHeight="1">
      <c r="B22" s="480"/>
      <c r="C22" s="82" t="s">
        <v>129</v>
      </c>
      <c r="D22" s="21"/>
      <c r="E22" s="89"/>
      <c r="F22" s="48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190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2"/>
      <c r="AJ22" s="489"/>
      <c r="AK22" s="53"/>
      <c r="AL22" s="53"/>
      <c r="AM22" s="53"/>
      <c r="AN22" s="53"/>
      <c r="AO22" s="53"/>
      <c r="AP22" s="53"/>
      <c r="AQ22" s="53"/>
      <c r="AR22" s="53"/>
    </row>
    <row r="23" spans="2:44" s="49" customFormat="1">
      <c r="B23" s="480"/>
      <c r="C23" s="83" t="str">
        <f>'Units &amp; Income'!$H$74</f>
        <v>Total Annual Rental Income</v>
      </c>
      <c r="D23" s="21"/>
      <c r="E23" s="89"/>
      <c r="F23" s="51">
        <f t="shared" ref="F23:AI23" si="11">SUM(F9+F16)</f>
        <v>0</v>
      </c>
      <c r="G23" s="51">
        <f t="shared" si="11"/>
        <v>0</v>
      </c>
      <c r="H23" s="51">
        <f t="shared" si="11"/>
        <v>0</v>
      </c>
      <c r="I23" s="51">
        <f t="shared" si="11"/>
        <v>0</v>
      </c>
      <c r="J23" s="51">
        <f t="shared" si="11"/>
        <v>0</v>
      </c>
      <c r="K23" s="51">
        <f t="shared" si="11"/>
        <v>0</v>
      </c>
      <c r="L23" s="51">
        <f t="shared" si="11"/>
        <v>0</v>
      </c>
      <c r="M23" s="51">
        <f t="shared" si="11"/>
        <v>0</v>
      </c>
      <c r="N23" s="51">
        <f t="shared" si="11"/>
        <v>0</v>
      </c>
      <c r="O23" s="51">
        <f t="shared" si="11"/>
        <v>0</v>
      </c>
      <c r="P23" s="51">
        <f t="shared" si="11"/>
        <v>0</v>
      </c>
      <c r="Q23" s="51">
        <f t="shared" si="11"/>
        <v>0</v>
      </c>
      <c r="R23" s="51">
        <f t="shared" si="11"/>
        <v>0</v>
      </c>
      <c r="S23" s="51">
        <f t="shared" si="11"/>
        <v>0</v>
      </c>
      <c r="T23" s="191">
        <f t="shared" si="11"/>
        <v>0</v>
      </c>
      <c r="U23" s="51">
        <f t="shared" si="11"/>
        <v>0</v>
      </c>
      <c r="V23" s="51">
        <f t="shared" si="11"/>
        <v>0</v>
      </c>
      <c r="W23" s="51">
        <f t="shared" si="11"/>
        <v>0</v>
      </c>
      <c r="X23" s="51">
        <f t="shared" si="11"/>
        <v>0</v>
      </c>
      <c r="Y23" s="51">
        <f t="shared" si="11"/>
        <v>0</v>
      </c>
      <c r="Z23" s="51">
        <f t="shared" si="11"/>
        <v>0</v>
      </c>
      <c r="AA23" s="51">
        <f t="shared" si="11"/>
        <v>0</v>
      </c>
      <c r="AB23" s="51">
        <f t="shared" si="11"/>
        <v>0</v>
      </c>
      <c r="AC23" s="51">
        <f t="shared" si="11"/>
        <v>0</v>
      </c>
      <c r="AD23" s="51">
        <f t="shared" si="11"/>
        <v>0</v>
      </c>
      <c r="AE23" s="51">
        <f t="shared" si="11"/>
        <v>0</v>
      </c>
      <c r="AF23" s="51">
        <f t="shared" si="11"/>
        <v>0</v>
      </c>
      <c r="AG23" s="51">
        <f t="shared" si="11"/>
        <v>0</v>
      </c>
      <c r="AH23" s="51">
        <f t="shared" si="11"/>
        <v>0</v>
      </c>
      <c r="AI23" s="162">
        <f t="shared" si="11"/>
        <v>0</v>
      </c>
      <c r="AJ23" s="489"/>
      <c r="AK23" s="53"/>
      <c r="AL23" s="53"/>
      <c r="AM23" s="53"/>
      <c r="AN23" s="53"/>
      <c r="AO23" s="53"/>
      <c r="AP23" s="53"/>
      <c r="AQ23" s="53"/>
      <c r="AR23" s="53"/>
    </row>
    <row r="24" spans="2:44" s="49" customFormat="1">
      <c r="B24" s="480"/>
      <c r="C24" s="83" t="str">
        <f>'Units &amp; Income'!$B$30</f>
        <v>Parking</v>
      </c>
      <c r="D24" s="21"/>
      <c r="E24" s="90"/>
      <c r="F24" s="51">
        <f t="shared" ref="F24:AI24" si="12">SUM(F10+F17)</f>
        <v>0</v>
      </c>
      <c r="G24" s="51">
        <f t="shared" si="12"/>
        <v>0</v>
      </c>
      <c r="H24" s="51">
        <f t="shared" si="12"/>
        <v>0</v>
      </c>
      <c r="I24" s="51">
        <f t="shared" si="12"/>
        <v>0</v>
      </c>
      <c r="J24" s="51">
        <f t="shared" si="12"/>
        <v>0</v>
      </c>
      <c r="K24" s="51">
        <f t="shared" si="12"/>
        <v>0</v>
      </c>
      <c r="L24" s="51">
        <f t="shared" si="12"/>
        <v>0</v>
      </c>
      <c r="M24" s="51">
        <f t="shared" si="12"/>
        <v>0</v>
      </c>
      <c r="N24" s="51">
        <f t="shared" si="12"/>
        <v>0</v>
      </c>
      <c r="O24" s="51">
        <f t="shared" si="12"/>
        <v>0</v>
      </c>
      <c r="P24" s="51">
        <f t="shared" si="12"/>
        <v>0</v>
      </c>
      <c r="Q24" s="51">
        <f t="shared" si="12"/>
        <v>0</v>
      </c>
      <c r="R24" s="51">
        <f t="shared" si="12"/>
        <v>0</v>
      </c>
      <c r="S24" s="51">
        <f t="shared" si="12"/>
        <v>0</v>
      </c>
      <c r="T24" s="191">
        <f t="shared" si="12"/>
        <v>0</v>
      </c>
      <c r="U24" s="51">
        <f t="shared" si="12"/>
        <v>0</v>
      </c>
      <c r="V24" s="51">
        <f t="shared" si="12"/>
        <v>0</v>
      </c>
      <c r="W24" s="51">
        <f t="shared" si="12"/>
        <v>0</v>
      </c>
      <c r="X24" s="51">
        <f t="shared" si="12"/>
        <v>0</v>
      </c>
      <c r="Y24" s="51">
        <f t="shared" si="12"/>
        <v>0</v>
      </c>
      <c r="Z24" s="51">
        <f t="shared" si="12"/>
        <v>0</v>
      </c>
      <c r="AA24" s="51">
        <f t="shared" si="12"/>
        <v>0</v>
      </c>
      <c r="AB24" s="51">
        <f t="shared" si="12"/>
        <v>0</v>
      </c>
      <c r="AC24" s="51">
        <f t="shared" si="12"/>
        <v>0</v>
      </c>
      <c r="AD24" s="51">
        <f t="shared" si="12"/>
        <v>0</v>
      </c>
      <c r="AE24" s="51">
        <f t="shared" si="12"/>
        <v>0</v>
      </c>
      <c r="AF24" s="51">
        <f t="shared" si="12"/>
        <v>0</v>
      </c>
      <c r="AG24" s="51">
        <f t="shared" si="12"/>
        <v>0</v>
      </c>
      <c r="AH24" s="51">
        <f t="shared" si="12"/>
        <v>0</v>
      </c>
      <c r="AI24" s="162">
        <f t="shared" si="12"/>
        <v>0</v>
      </c>
      <c r="AJ24" s="489"/>
      <c r="AK24" s="53"/>
      <c r="AL24" s="53"/>
      <c r="AM24" s="53"/>
      <c r="AN24" s="53"/>
      <c r="AO24" s="53"/>
      <c r="AP24" s="53"/>
      <c r="AQ24" s="53"/>
      <c r="AR24" s="53"/>
    </row>
    <row r="25" spans="2:44" s="49" customFormat="1">
      <c r="B25" s="480"/>
      <c r="C25" s="83" t="str">
        <f>'Units &amp; Income'!$B$33</f>
        <v>Commercial</v>
      </c>
      <c r="D25" s="21"/>
      <c r="E25" s="90"/>
      <c r="F25" s="51">
        <f t="shared" ref="F25:AI25" si="13">SUM(F11+F18)</f>
        <v>0</v>
      </c>
      <c r="G25" s="51">
        <f t="shared" si="13"/>
        <v>0</v>
      </c>
      <c r="H25" s="51">
        <f t="shared" si="13"/>
        <v>0</v>
      </c>
      <c r="I25" s="51">
        <f t="shared" si="13"/>
        <v>0</v>
      </c>
      <c r="J25" s="51">
        <f t="shared" si="13"/>
        <v>0</v>
      </c>
      <c r="K25" s="51">
        <f t="shared" si="13"/>
        <v>0</v>
      </c>
      <c r="L25" s="51">
        <f t="shared" si="13"/>
        <v>0</v>
      </c>
      <c r="M25" s="51">
        <f t="shared" si="13"/>
        <v>0</v>
      </c>
      <c r="N25" s="51">
        <f t="shared" si="13"/>
        <v>0</v>
      </c>
      <c r="O25" s="51">
        <f t="shared" si="13"/>
        <v>0</v>
      </c>
      <c r="P25" s="51">
        <f t="shared" si="13"/>
        <v>0</v>
      </c>
      <c r="Q25" s="51">
        <f t="shared" si="13"/>
        <v>0</v>
      </c>
      <c r="R25" s="51">
        <f t="shared" si="13"/>
        <v>0</v>
      </c>
      <c r="S25" s="51">
        <f t="shared" si="13"/>
        <v>0</v>
      </c>
      <c r="T25" s="191">
        <f t="shared" si="13"/>
        <v>0</v>
      </c>
      <c r="U25" s="51">
        <f t="shared" si="13"/>
        <v>0</v>
      </c>
      <c r="V25" s="51">
        <f t="shared" si="13"/>
        <v>0</v>
      </c>
      <c r="W25" s="51">
        <f t="shared" si="13"/>
        <v>0</v>
      </c>
      <c r="X25" s="51">
        <f t="shared" si="13"/>
        <v>0</v>
      </c>
      <c r="Y25" s="51">
        <f t="shared" si="13"/>
        <v>0</v>
      </c>
      <c r="Z25" s="51">
        <f t="shared" si="13"/>
        <v>0</v>
      </c>
      <c r="AA25" s="51">
        <f t="shared" si="13"/>
        <v>0</v>
      </c>
      <c r="AB25" s="51">
        <f t="shared" si="13"/>
        <v>0</v>
      </c>
      <c r="AC25" s="51">
        <f t="shared" si="13"/>
        <v>0</v>
      </c>
      <c r="AD25" s="51">
        <f t="shared" si="13"/>
        <v>0</v>
      </c>
      <c r="AE25" s="51">
        <f t="shared" si="13"/>
        <v>0</v>
      </c>
      <c r="AF25" s="51">
        <f t="shared" si="13"/>
        <v>0</v>
      </c>
      <c r="AG25" s="51">
        <f t="shared" si="13"/>
        <v>0</v>
      </c>
      <c r="AH25" s="51">
        <f t="shared" si="13"/>
        <v>0</v>
      </c>
      <c r="AI25" s="162">
        <f t="shared" si="13"/>
        <v>0</v>
      </c>
      <c r="AJ25" s="489"/>
      <c r="AK25" s="53"/>
      <c r="AL25" s="53"/>
      <c r="AM25" s="53"/>
      <c r="AN25" s="53"/>
      <c r="AO25" s="53"/>
      <c r="AP25" s="53"/>
      <c r="AQ25" s="53"/>
      <c r="AR25" s="53"/>
    </row>
    <row r="26" spans="2:44" s="49" customFormat="1" ht="17.25" customHeight="1">
      <c r="B26" s="480"/>
      <c r="C26" s="83" t="str">
        <f>'Units &amp; Income'!$B$35</f>
        <v>Community Facility</v>
      </c>
      <c r="D26" s="21"/>
      <c r="E26" s="90"/>
      <c r="F26" s="51">
        <f t="shared" ref="F26:AI26" si="14">SUM(F12+F19)</f>
        <v>0</v>
      </c>
      <c r="G26" s="51">
        <f t="shared" si="14"/>
        <v>0</v>
      </c>
      <c r="H26" s="51">
        <f t="shared" si="14"/>
        <v>0</v>
      </c>
      <c r="I26" s="51">
        <f t="shared" si="14"/>
        <v>0</v>
      </c>
      <c r="J26" s="51">
        <f t="shared" si="14"/>
        <v>0</v>
      </c>
      <c r="K26" s="51">
        <f t="shared" si="14"/>
        <v>0</v>
      </c>
      <c r="L26" s="51">
        <f t="shared" si="14"/>
        <v>0</v>
      </c>
      <c r="M26" s="51">
        <f t="shared" si="14"/>
        <v>0</v>
      </c>
      <c r="N26" s="51">
        <f t="shared" si="14"/>
        <v>0</v>
      </c>
      <c r="O26" s="51">
        <f t="shared" si="14"/>
        <v>0</v>
      </c>
      <c r="P26" s="51">
        <f t="shared" si="14"/>
        <v>0</v>
      </c>
      <c r="Q26" s="51">
        <f t="shared" si="14"/>
        <v>0</v>
      </c>
      <c r="R26" s="51">
        <f t="shared" si="14"/>
        <v>0</v>
      </c>
      <c r="S26" s="51">
        <f t="shared" si="14"/>
        <v>0</v>
      </c>
      <c r="T26" s="191">
        <f t="shared" si="14"/>
        <v>0</v>
      </c>
      <c r="U26" s="51">
        <f t="shared" si="14"/>
        <v>0</v>
      </c>
      <c r="V26" s="51">
        <f t="shared" si="14"/>
        <v>0</v>
      </c>
      <c r="W26" s="51">
        <f t="shared" si="14"/>
        <v>0</v>
      </c>
      <c r="X26" s="51">
        <f t="shared" si="14"/>
        <v>0</v>
      </c>
      <c r="Y26" s="51">
        <f t="shared" si="14"/>
        <v>0</v>
      </c>
      <c r="Z26" s="51">
        <f t="shared" si="14"/>
        <v>0</v>
      </c>
      <c r="AA26" s="51">
        <f t="shared" si="14"/>
        <v>0</v>
      </c>
      <c r="AB26" s="51">
        <f t="shared" si="14"/>
        <v>0</v>
      </c>
      <c r="AC26" s="51">
        <f t="shared" si="14"/>
        <v>0</v>
      </c>
      <c r="AD26" s="51">
        <f t="shared" si="14"/>
        <v>0</v>
      </c>
      <c r="AE26" s="51">
        <f t="shared" si="14"/>
        <v>0</v>
      </c>
      <c r="AF26" s="51">
        <f t="shared" si="14"/>
        <v>0</v>
      </c>
      <c r="AG26" s="51">
        <f t="shared" si="14"/>
        <v>0</v>
      </c>
      <c r="AH26" s="51">
        <f t="shared" si="14"/>
        <v>0</v>
      </c>
      <c r="AI26" s="162">
        <f t="shared" si="14"/>
        <v>0</v>
      </c>
      <c r="AJ26" s="489"/>
      <c r="AK26" s="53"/>
      <c r="AL26" s="53"/>
      <c r="AM26" s="53"/>
      <c r="AN26" s="53"/>
      <c r="AO26" s="53"/>
      <c r="AP26" s="53"/>
      <c r="AQ26" s="53"/>
      <c r="AR26" s="53"/>
    </row>
    <row r="27" spans="2:44" s="49" customFormat="1">
      <c r="B27" s="480"/>
      <c r="C27" s="84" t="str">
        <f>'Units &amp; Income'!$B$38</f>
        <v>Laundry</v>
      </c>
      <c r="D27" s="21"/>
      <c r="E27" s="90"/>
      <c r="F27" s="51">
        <f t="shared" ref="F27:AI27" si="15">SUM(F13+F20)</f>
        <v>0</v>
      </c>
      <c r="G27" s="51">
        <f t="shared" si="15"/>
        <v>0</v>
      </c>
      <c r="H27" s="51">
        <f t="shared" si="15"/>
        <v>0</v>
      </c>
      <c r="I27" s="51">
        <f t="shared" si="15"/>
        <v>0</v>
      </c>
      <c r="J27" s="51">
        <f t="shared" si="15"/>
        <v>0</v>
      </c>
      <c r="K27" s="51">
        <f t="shared" si="15"/>
        <v>0</v>
      </c>
      <c r="L27" s="51">
        <f t="shared" si="15"/>
        <v>0</v>
      </c>
      <c r="M27" s="51">
        <f t="shared" si="15"/>
        <v>0</v>
      </c>
      <c r="N27" s="51">
        <f t="shared" si="15"/>
        <v>0</v>
      </c>
      <c r="O27" s="51">
        <f t="shared" si="15"/>
        <v>0</v>
      </c>
      <c r="P27" s="51">
        <f t="shared" si="15"/>
        <v>0</v>
      </c>
      <c r="Q27" s="51">
        <f t="shared" si="15"/>
        <v>0</v>
      </c>
      <c r="R27" s="51">
        <f t="shared" si="15"/>
        <v>0</v>
      </c>
      <c r="S27" s="51">
        <f t="shared" si="15"/>
        <v>0</v>
      </c>
      <c r="T27" s="191">
        <f t="shared" si="15"/>
        <v>0</v>
      </c>
      <c r="U27" s="51">
        <f t="shared" si="15"/>
        <v>0</v>
      </c>
      <c r="V27" s="51">
        <f t="shared" si="15"/>
        <v>0</v>
      </c>
      <c r="W27" s="51">
        <f t="shared" si="15"/>
        <v>0</v>
      </c>
      <c r="X27" s="51">
        <f t="shared" si="15"/>
        <v>0</v>
      </c>
      <c r="Y27" s="51">
        <f t="shared" si="15"/>
        <v>0</v>
      </c>
      <c r="Z27" s="51">
        <f t="shared" si="15"/>
        <v>0</v>
      </c>
      <c r="AA27" s="51">
        <f t="shared" si="15"/>
        <v>0</v>
      </c>
      <c r="AB27" s="51">
        <f t="shared" si="15"/>
        <v>0</v>
      </c>
      <c r="AC27" s="51">
        <f t="shared" si="15"/>
        <v>0</v>
      </c>
      <c r="AD27" s="51">
        <f t="shared" si="15"/>
        <v>0</v>
      </c>
      <c r="AE27" s="51">
        <f t="shared" si="15"/>
        <v>0</v>
      </c>
      <c r="AF27" s="51">
        <f t="shared" si="15"/>
        <v>0</v>
      </c>
      <c r="AG27" s="51">
        <f t="shared" si="15"/>
        <v>0</v>
      </c>
      <c r="AH27" s="51">
        <f t="shared" si="15"/>
        <v>0</v>
      </c>
      <c r="AI27" s="162">
        <f t="shared" si="15"/>
        <v>0</v>
      </c>
      <c r="AJ27" s="489"/>
      <c r="AK27" s="53"/>
      <c r="AL27" s="53"/>
      <c r="AM27" s="53"/>
      <c r="AN27" s="53"/>
      <c r="AO27" s="53"/>
      <c r="AP27" s="53"/>
      <c r="AQ27" s="53"/>
      <c r="AR27" s="53"/>
    </row>
    <row r="28" spans="2:44" s="53" customFormat="1" ht="17.25" customHeight="1">
      <c r="B28" s="480"/>
      <c r="C28" s="86" t="s">
        <v>211</v>
      </c>
      <c r="D28" s="52"/>
      <c r="E28" s="91"/>
      <c r="F28" s="104">
        <f t="shared" ref="F28:AI28" si="16">SUM(F23:F27)</f>
        <v>0</v>
      </c>
      <c r="G28" s="104">
        <f t="shared" si="16"/>
        <v>0</v>
      </c>
      <c r="H28" s="104">
        <f t="shared" si="16"/>
        <v>0</v>
      </c>
      <c r="I28" s="104">
        <f t="shared" si="16"/>
        <v>0</v>
      </c>
      <c r="J28" s="104">
        <f t="shared" si="16"/>
        <v>0</v>
      </c>
      <c r="K28" s="104">
        <f t="shared" si="16"/>
        <v>0</v>
      </c>
      <c r="L28" s="104">
        <f t="shared" si="16"/>
        <v>0</v>
      </c>
      <c r="M28" s="104">
        <f t="shared" si="16"/>
        <v>0</v>
      </c>
      <c r="N28" s="104">
        <f t="shared" si="16"/>
        <v>0</v>
      </c>
      <c r="O28" s="104">
        <f t="shared" si="16"/>
        <v>0</v>
      </c>
      <c r="P28" s="104">
        <f t="shared" si="16"/>
        <v>0</v>
      </c>
      <c r="Q28" s="104">
        <f t="shared" si="16"/>
        <v>0</v>
      </c>
      <c r="R28" s="104">
        <f t="shared" si="16"/>
        <v>0</v>
      </c>
      <c r="S28" s="104">
        <f t="shared" si="16"/>
        <v>0</v>
      </c>
      <c r="T28" s="192">
        <f t="shared" si="16"/>
        <v>0</v>
      </c>
      <c r="U28" s="104">
        <f t="shared" si="16"/>
        <v>0</v>
      </c>
      <c r="V28" s="104">
        <f t="shared" si="16"/>
        <v>0</v>
      </c>
      <c r="W28" s="104">
        <f t="shared" si="16"/>
        <v>0</v>
      </c>
      <c r="X28" s="104">
        <f t="shared" si="16"/>
        <v>0</v>
      </c>
      <c r="Y28" s="104">
        <f t="shared" si="16"/>
        <v>0</v>
      </c>
      <c r="Z28" s="104">
        <f t="shared" si="16"/>
        <v>0</v>
      </c>
      <c r="AA28" s="104">
        <f t="shared" si="16"/>
        <v>0</v>
      </c>
      <c r="AB28" s="104">
        <f t="shared" si="16"/>
        <v>0</v>
      </c>
      <c r="AC28" s="104">
        <f t="shared" si="16"/>
        <v>0</v>
      </c>
      <c r="AD28" s="104">
        <f t="shared" si="16"/>
        <v>0</v>
      </c>
      <c r="AE28" s="104">
        <f t="shared" si="16"/>
        <v>0</v>
      </c>
      <c r="AF28" s="104">
        <f t="shared" si="16"/>
        <v>0</v>
      </c>
      <c r="AG28" s="104">
        <f t="shared" si="16"/>
        <v>0</v>
      </c>
      <c r="AH28" s="104">
        <f t="shared" si="16"/>
        <v>0</v>
      </c>
      <c r="AI28" s="163">
        <f t="shared" si="16"/>
        <v>0</v>
      </c>
      <c r="AJ28" s="489"/>
    </row>
    <row r="29" spans="2:44" s="30" customFormat="1" ht="23.25" customHeight="1">
      <c r="B29" s="480"/>
      <c r="C29" s="110" t="s">
        <v>136</v>
      </c>
      <c r="D29" s="106"/>
      <c r="E29" s="92"/>
      <c r="F29" s="164"/>
      <c r="G29" s="165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193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3"/>
      <c r="AJ29" s="489"/>
      <c r="AK29" s="97"/>
      <c r="AL29" s="53"/>
      <c r="AM29" s="53"/>
      <c r="AN29" s="53"/>
      <c r="AO29" s="53"/>
      <c r="AP29" s="53"/>
      <c r="AQ29" s="53"/>
      <c r="AR29" s="53"/>
    </row>
    <row r="30" spans="2:44" s="30" customFormat="1" ht="17.25" customHeight="1">
      <c r="B30" s="480"/>
      <c r="C30" s="109" t="s">
        <v>348</v>
      </c>
      <c r="D30" s="21"/>
      <c r="E30" s="202">
        <v>0.03</v>
      </c>
      <c r="F30" s="111">
        <f>'Operating Expenses '!F36</f>
        <v>0</v>
      </c>
      <c r="G30" s="37">
        <f>F30*$E$30+F30</f>
        <v>0</v>
      </c>
      <c r="H30" s="37">
        <f t="shared" ref="H30:AI30" si="17">G30*$E$30+G30</f>
        <v>0</v>
      </c>
      <c r="I30" s="37">
        <f t="shared" si="17"/>
        <v>0</v>
      </c>
      <c r="J30" s="37">
        <f t="shared" si="17"/>
        <v>0</v>
      </c>
      <c r="K30" s="37">
        <f t="shared" si="17"/>
        <v>0</v>
      </c>
      <c r="L30" s="37">
        <f t="shared" si="17"/>
        <v>0</v>
      </c>
      <c r="M30" s="37">
        <f t="shared" si="17"/>
        <v>0</v>
      </c>
      <c r="N30" s="37">
        <f t="shared" si="17"/>
        <v>0</v>
      </c>
      <c r="O30" s="37">
        <f t="shared" si="17"/>
        <v>0</v>
      </c>
      <c r="P30" s="37">
        <f t="shared" si="17"/>
        <v>0</v>
      </c>
      <c r="Q30" s="37">
        <f t="shared" si="17"/>
        <v>0</v>
      </c>
      <c r="R30" s="37">
        <f t="shared" si="17"/>
        <v>0</v>
      </c>
      <c r="S30" s="37">
        <f t="shared" si="17"/>
        <v>0</v>
      </c>
      <c r="T30" s="180">
        <f t="shared" si="17"/>
        <v>0</v>
      </c>
      <c r="U30" s="37">
        <f t="shared" si="17"/>
        <v>0</v>
      </c>
      <c r="V30" s="37">
        <f t="shared" si="17"/>
        <v>0</v>
      </c>
      <c r="W30" s="37">
        <f t="shared" si="17"/>
        <v>0</v>
      </c>
      <c r="X30" s="37">
        <f t="shared" si="17"/>
        <v>0</v>
      </c>
      <c r="Y30" s="37">
        <f t="shared" si="17"/>
        <v>0</v>
      </c>
      <c r="Z30" s="37">
        <f t="shared" si="17"/>
        <v>0</v>
      </c>
      <c r="AA30" s="37">
        <f t="shared" si="17"/>
        <v>0</v>
      </c>
      <c r="AB30" s="37">
        <f t="shared" si="17"/>
        <v>0</v>
      </c>
      <c r="AC30" s="37">
        <f t="shared" si="17"/>
        <v>0</v>
      </c>
      <c r="AD30" s="37">
        <f t="shared" si="17"/>
        <v>0</v>
      </c>
      <c r="AE30" s="37">
        <f t="shared" si="17"/>
        <v>0</v>
      </c>
      <c r="AF30" s="37">
        <f t="shared" si="17"/>
        <v>0</v>
      </c>
      <c r="AG30" s="37">
        <f t="shared" si="17"/>
        <v>0</v>
      </c>
      <c r="AH30" s="37">
        <f t="shared" si="17"/>
        <v>0</v>
      </c>
      <c r="AI30" s="39">
        <f t="shared" si="17"/>
        <v>0</v>
      </c>
      <c r="AJ30" s="489"/>
      <c r="AK30" s="53"/>
      <c r="AL30" s="53"/>
      <c r="AM30" s="53"/>
      <c r="AN30" s="53"/>
      <c r="AO30" s="53"/>
      <c r="AP30" s="53"/>
      <c r="AQ30" s="53"/>
      <c r="AR30" s="53"/>
    </row>
    <row r="31" spans="2:44" s="53" customFormat="1" ht="17.25" customHeight="1">
      <c r="B31" s="480"/>
      <c r="C31" s="107" t="str">
        <f>'Operating Expenses '!B18</f>
        <v xml:space="preserve"> Management Fee </v>
      </c>
      <c r="D31" s="108"/>
      <c r="E31" s="202">
        <v>0.03</v>
      </c>
      <c r="F31" s="31">
        <f>'Operating Expenses '!F18</f>
        <v>0</v>
      </c>
      <c r="G31" s="37">
        <f>F31*$E$31+F31</f>
        <v>0</v>
      </c>
      <c r="H31" s="37">
        <f t="shared" ref="H31:AI31" si="18">G31*$E$31+G31</f>
        <v>0</v>
      </c>
      <c r="I31" s="37">
        <f t="shared" si="18"/>
        <v>0</v>
      </c>
      <c r="J31" s="37">
        <f t="shared" si="18"/>
        <v>0</v>
      </c>
      <c r="K31" s="37">
        <f t="shared" si="18"/>
        <v>0</v>
      </c>
      <c r="L31" s="37">
        <f t="shared" si="18"/>
        <v>0</v>
      </c>
      <c r="M31" s="37">
        <f t="shared" si="18"/>
        <v>0</v>
      </c>
      <c r="N31" s="37">
        <f t="shared" si="18"/>
        <v>0</v>
      </c>
      <c r="O31" s="37">
        <f t="shared" si="18"/>
        <v>0</v>
      </c>
      <c r="P31" s="37">
        <f t="shared" si="18"/>
        <v>0</v>
      </c>
      <c r="Q31" s="37">
        <f t="shared" si="18"/>
        <v>0</v>
      </c>
      <c r="R31" s="37">
        <f t="shared" si="18"/>
        <v>0</v>
      </c>
      <c r="S31" s="37">
        <f t="shared" si="18"/>
        <v>0</v>
      </c>
      <c r="T31" s="180">
        <f t="shared" si="18"/>
        <v>0</v>
      </c>
      <c r="U31" s="37">
        <f t="shared" si="18"/>
        <v>0</v>
      </c>
      <c r="V31" s="37">
        <f t="shared" si="18"/>
        <v>0</v>
      </c>
      <c r="W31" s="37">
        <f t="shared" si="18"/>
        <v>0</v>
      </c>
      <c r="X31" s="37">
        <f t="shared" si="18"/>
        <v>0</v>
      </c>
      <c r="Y31" s="37">
        <f t="shared" si="18"/>
        <v>0</v>
      </c>
      <c r="Z31" s="37">
        <f t="shared" si="18"/>
        <v>0</v>
      </c>
      <c r="AA31" s="37">
        <f t="shared" si="18"/>
        <v>0</v>
      </c>
      <c r="AB31" s="37">
        <f t="shared" si="18"/>
        <v>0</v>
      </c>
      <c r="AC31" s="37">
        <f t="shared" si="18"/>
        <v>0</v>
      </c>
      <c r="AD31" s="37">
        <f t="shared" si="18"/>
        <v>0</v>
      </c>
      <c r="AE31" s="37">
        <f t="shared" si="18"/>
        <v>0</v>
      </c>
      <c r="AF31" s="37">
        <f t="shared" si="18"/>
        <v>0</v>
      </c>
      <c r="AG31" s="37">
        <f t="shared" si="18"/>
        <v>0</v>
      </c>
      <c r="AH31" s="37">
        <f t="shared" si="18"/>
        <v>0</v>
      </c>
      <c r="AI31" s="39">
        <f t="shared" si="18"/>
        <v>0</v>
      </c>
      <c r="AJ31" s="489"/>
      <c r="AK31" s="97"/>
    </row>
    <row r="32" spans="2:44" s="56" customFormat="1" ht="19.5" customHeight="1">
      <c r="B32" s="479"/>
      <c r="C32" s="105" t="s">
        <v>228</v>
      </c>
      <c r="D32" s="54"/>
      <c r="E32" s="94" t="s">
        <v>40</v>
      </c>
      <c r="F32" s="112">
        <f t="shared" ref="F32:AI32" si="19">SUM(F30:F31)</f>
        <v>0</v>
      </c>
      <c r="G32" s="112">
        <f t="shared" si="19"/>
        <v>0</v>
      </c>
      <c r="H32" s="112">
        <f t="shared" si="19"/>
        <v>0</v>
      </c>
      <c r="I32" s="112">
        <f t="shared" si="19"/>
        <v>0</v>
      </c>
      <c r="J32" s="112">
        <f t="shared" si="19"/>
        <v>0</v>
      </c>
      <c r="K32" s="112">
        <f t="shared" si="19"/>
        <v>0</v>
      </c>
      <c r="L32" s="112">
        <f t="shared" si="19"/>
        <v>0</v>
      </c>
      <c r="M32" s="112">
        <f t="shared" si="19"/>
        <v>0</v>
      </c>
      <c r="N32" s="112">
        <f t="shared" si="19"/>
        <v>0</v>
      </c>
      <c r="O32" s="112">
        <f t="shared" si="19"/>
        <v>0</v>
      </c>
      <c r="P32" s="112">
        <f t="shared" si="19"/>
        <v>0</v>
      </c>
      <c r="Q32" s="112">
        <f t="shared" si="19"/>
        <v>0</v>
      </c>
      <c r="R32" s="112">
        <f t="shared" si="19"/>
        <v>0</v>
      </c>
      <c r="S32" s="112">
        <f t="shared" si="19"/>
        <v>0</v>
      </c>
      <c r="T32" s="112">
        <f t="shared" si="19"/>
        <v>0</v>
      </c>
      <c r="U32" s="112">
        <f t="shared" si="19"/>
        <v>0</v>
      </c>
      <c r="V32" s="112">
        <f t="shared" si="19"/>
        <v>0</v>
      </c>
      <c r="W32" s="112">
        <f t="shared" si="19"/>
        <v>0</v>
      </c>
      <c r="X32" s="112">
        <f t="shared" si="19"/>
        <v>0</v>
      </c>
      <c r="Y32" s="112">
        <f t="shared" si="19"/>
        <v>0</v>
      </c>
      <c r="Z32" s="112">
        <f t="shared" si="19"/>
        <v>0</v>
      </c>
      <c r="AA32" s="112">
        <f t="shared" si="19"/>
        <v>0</v>
      </c>
      <c r="AB32" s="112">
        <f t="shared" si="19"/>
        <v>0</v>
      </c>
      <c r="AC32" s="112">
        <f t="shared" si="19"/>
        <v>0</v>
      </c>
      <c r="AD32" s="112">
        <f t="shared" si="19"/>
        <v>0</v>
      </c>
      <c r="AE32" s="112">
        <f t="shared" si="19"/>
        <v>0</v>
      </c>
      <c r="AF32" s="112">
        <f t="shared" si="19"/>
        <v>0</v>
      </c>
      <c r="AG32" s="112">
        <f t="shared" si="19"/>
        <v>0</v>
      </c>
      <c r="AH32" s="112">
        <f t="shared" si="19"/>
        <v>0</v>
      </c>
      <c r="AI32" s="112">
        <f t="shared" si="19"/>
        <v>0</v>
      </c>
      <c r="AJ32" s="499"/>
      <c r="AK32" s="98"/>
      <c r="AL32" s="98"/>
      <c r="AM32" s="98"/>
      <c r="AN32" s="98"/>
      <c r="AO32" s="98"/>
      <c r="AP32" s="98"/>
      <c r="AQ32" s="98"/>
      <c r="AR32" s="98"/>
    </row>
    <row r="33" spans="2:44" s="49" customFormat="1" ht="17.25" customHeight="1">
      <c r="B33" s="480"/>
      <c r="C33" s="113" t="str">
        <f>'Operating Expenses '!B39</f>
        <v>Replacement Reserves</v>
      </c>
      <c r="D33" s="57"/>
      <c r="E33" s="202">
        <v>0.03</v>
      </c>
      <c r="F33" s="51">
        <f>-'Operating Expenses '!F39</f>
        <v>0</v>
      </c>
      <c r="G33" s="37">
        <f>F33*$E$33+F33</f>
        <v>0</v>
      </c>
      <c r="H33" s="37">
        <f t="shared" ref="H33:AI33" si="20">G33*$E$33+G33</f>
        <v>0</v>
      </c>
      <c r="I33" s="37">
        <f t="shared" si="20"/>
        <v>0</v>
      </c>
      <c r="J33" s="37">
        <f t="shared" si="20"/>
        <v>0</v>
      </c>
      <c r="K33" s="37">
        <f t="shared" si="20"/>
        <v>0</v>
      </c>
      <c r="L33" s="37">
        <f t="shared" si="20"/>
        <v>0</v>
      </c>
      <c r="M33" s="37">
        <f t="shared" si="20"/>
        <v>0</v>
      </c>
      <c r="N33" s="37">
        <f t="shared" si="20"/>
        <v>0</v>
      </c>
      <c r="O33" s="37">
        <f t="shared" si="20"/>
        <v>0</v>
      </c>
      <c r="P33" s="37">
        <f t="shared" si="20"/>
        <v>0</v>
      </c>
      <c r="Q33" s="37">
        <f t="shared" si="20"/>
        <v>0</v>
      </c>
      <c r="R33" s="37">
        <f t="shared" si="20"/>
        <v>0</v>
      </c>
      <c r="S33" s="37">
        <f t="shared" si="20"/>
        <v>0</v>
      </c>
      <c r="T33" s="180">
        <f t="shared" si="20"/>
        <v>0</v>
      </c>
      <c r="U33" s="37">
        <f t="shared" si="20"/>
        <v>0</v>
      </c>
      <c r="V33" s="37">
        <f t="shared" si="20"/>
        <v>0</v>
      </c>
      <c r="W33" s="37">
        <f t="shared" si="20"/>
        <v>0</v>
      </c>
      <c r="X33" s="37">
        <f t="shared" si="20"/>
        <v>0</v>
      </c>
      <c r="Y33" s="37">
        <f t="shared" si="20"/>
        <v>0</v>
      </c>
      <c r="Z33" s="37">
        <f t="shared" si="20"/>
        <v>0</v>
      </c>
      <c r="AA33" s="37">
        <f t="shared" si="20"/>
        <v>0</v>
      </c>
      <c r="AB33" s="37">
        <f t="shared" si="20"/>
        <v>0</v>
      </c>
      <c r="AC33" s="37">
        <f t="shared" si="20"/>
        <v>0</v>
      </c>
      <c r="AD33" s="37">
        <f t="shared" si="20"/>
        <v>0</v>
      </c>
      <c r="AE33" s="37">
        <f t="shared" si="20"/>
        <v>0</v>
      </c>
      <c r="AF33" s="37">
        <f t="shared" si="20"/>
        <v>0</v>
      </c>
      <c r="AG33" s="37">
        <f t="shared" si="20"/>
        <v>0</v>
      </c>
      <c r="AH33" s="37">
        <f t="shared" si="20"/>
        <v>0</v>
      </c>
      <c r="AI33" s="39">
        <f t="shared" si="20"/>
        <v>0</v>
      </c>
      <c r="AJ33" s="500"/>
      <c r="AK33" s="51"/>
      <c r="AL33" s="53"/>
      <c r="AM33" s="53"/>
      <c r="AN33" s="53"/>
      <c r="AO33" s="53"/>
      <c r="AP33" s="53"/>
      <c r="AQ33" s="53"/>
      <c r="AR33" s="53"/>
    </row>
    <row r="34" spans="2:44" s="59" customFormat="1" ht="20.25" customHeight="1">
      <c r="B34" s="479"/>
      <c r="C34" s="171" t="s">
        <v>229</v>
      </c>
      <c r="D34" s="58"/>
      <c r="E34" s="94"/>
      <c r="F34" s="55">
        <f t="shared" ref="F34:AI34" si="21">-F32+F33</f>
        <v>0</v>
      </c>
      <c r="G34" s="55">
        <f t="shared" si="21"/>
        <v>0</v>
      </c>
      <c r="H34" s="55">
        <f t="shared" si="21"/>
        <v>0</v>
      </c>
      <c r="I34" s="55">
        <f t="shared" si="21"/>
        <v>0</v>
      </c>
      <c r="J34" s="55">
        <f t="shared" si="21"/>
        <v>0</v>
      </c>
      <c r="K34" s="55">
        <f t="shared" si="21"/>
        <v>0</v>
      </c>
      <c r="L34" s="55">
        <f t="shared" si="21"/>
        <v>0</v>
      </c>
      <c r="M34" s="55">
        <f t="shared" si="21"/>
        <v>0</v>
      </c>
      <c r="N34" s="55">
        <f t="shared" si="21"/>
        <v>0</v>
      </c>
      <c r="O34" s="55">
        <f t="shared" si="21"/>
        <v>0</v>
      </c>
      <c r="P34" s="55">
        <f t="shared" si="21"/>
        <v>0</v>
      </c>
      <c r="Q34" s="55">
        <f t="shared" si="21"/>
        <v>0</v>
      </c>
      <c r="R34" s="55">
        <f t="shared" si="21"/>
        <v>0</v>
      </c>
      <c r="S34" s="55">
        <f t="shared" si="21"/>
        <v>0</v>
      </c>
      <c r="T34" s="55">
        <f t="shared" si="21"/>
        <v>0</v>
      </c>
      <c r="U34" s="55">
        <f t="shared" si="21"/>
        <v>0</v>
      </c>
      <c r="V34" s="55">
        <f t="shared" si="21"/>
        <v>0</v>
      </c>
      <c r="W34" s="55">
        <f t="shared" si="21"/>
        <v>0</v>
      </c>
      <c r="X34" s="55">
        <f t="shared" si="21"/>
        <v>0</v>
      </c>
      <c r="Y34" s="55">
        <f t="shared" si="21"/>
        <v>0</v>
      </c>
      <c r="Z34" s="55">
        <f t="shared" si="21"/>
        <v>0</v>
      </c>
      <c r="AA34" s="55">
        <f t="shared" si="21"/>
        <v>0</v>
      </c>
      <c r="AB34" s="55">
        <f t="shared" si="21"/>
        <v>0</v>
      </c>
      <c r="AC34" s="55">
        <f t="shared" si="21"/>
        <v>0</v>
      </c>
      <c r="AD34" s="55">
        <f t="shared" si="21"/>
        <v>0</v>
      </c>
      <c r="AE34" s="55">
        <f t="shared" si="21"/>
        <v>0</v>
      </c>
      <c r="AF34" s="55">
        <f t="shared" si="21"/>
        <v>0</v>
      </c>
      <c r="AG34" s="55">
        <f t="shared" si="21"/>
        <v>0</v>
      </c>
      <c r="AH34" s="55">
        <f t="shared" si="21"/>
        <v>0</v>
      </c>
      <c r="AI34" s="55">
        <f t="shared" si="21"/>
        <v>0</v>
      </c>
      <c r="AJ34" s="499"/>
      <c r="AK34" s="98"/>
      <c r="AL34" s="98"/>
      <c r="AM34" s="98"/>
      <c r="AN34" s="98"/>
      <c r="AO34" s="98"/>
      <c r="AP34" s="98"/>
      <c r="AQ34" s="98"/>
      <c r="AR34" s="98"/>
    </row>
    <row r="35" spans="2:44" s="56" customFormat="1" ht="17.25" customHeight="1" thickBot="1">
      <c r="B35" s="479"/>
      <c r="C35" s="172" t="s">
        <v>230</v>
      </c>
      <c r="D35" s="166"/>
      <c r="E35" s="167"/>
      <c r="F35" s="168">
        <f t="shared" ref="F35:AI35" si="22">F28+F34</f>
        <v>0</v>
      </c>
      <c r="G35" s="168">
        <f t="shared" si="22"/>
        <v>0</v>
      </c>
      <c r="H35" s="169">
        <f t="shared" si="22"/>
        <v>0</v>
      </c>
      <c r="I35" s="169">
        <f t="shared" si="22"/>
        <v>0</v>
      </c>
      <c r="J35" s="169">
        <f t="shared" si="22"/>
        <v>0</v>
      </c>
      <c r="K35" s="169">
        <f t="shared" si="22"/>
        <v>0</v>
      </c>
      <c r="L35" s="169">
        <f t="shared" si="22"/>
        <v>0</v>
      </c>
      <c r="M35" s="169">
        <f t="shared" si="22"/>
        <v>0</v>
      </c>
      <c r="N35" s="169">
        <f t="shared" si="22"/>
        <v>0</v>
      </c>
      <c r="O35" s="169">
        <f t="shared" si="22"/>
        <v>0</v>
      </c>
      <c r="P35" s="169">
        <f t="shared" si="22"/>
        <v>0</v>
      </c>
      <c r="Q35" s="169">
        <f t="shared" si="22"/>
        <v>0</v>
      </c>
      <c r="R35" s="169">
        <f t="shared" si="22"/>
        <v>0</v>
      </c>
      <c r="S35" s="169">
        <f t="shared" si="22"/>
        <v>0</v>
      </c>
      <c r="T35" s="181">
        <f t="shared" si="22"/>
        <v>0</v>
      </c>
      <c r="U35" s="169">
        <f t="shared" si="22"/>
        <v>0</v>
      </c>
      <c r="V35" s="169">
        <f t="shared" si="22"/>
        <v>0</v>
      </c>
      <c r="W35" s="169">
        <f t="shared" si="22"/>
        <v>0</v>
      </c>
      <c r="X35" s="169">
        <f t="shared" si="22"/>
        <v>0</v>
      </c>
      <c r="Y35" s="169">
        <f t="shared" si="22"/>
        <v>0</v>
      </c>
      <c r="Z35" s="169">
        <f t="shared" si="22"/>
        <v>0</v>
      </c>
      <c r="AA35" s="169">
        <f t="shared" si="22"/>
        <v>0</v>
      </c>
      <c r="AB35" s="169">
        <f t="shared" si="22"/>
        <v>0</v>
      </c>
      <c r="AC35" s="169">
        <f t="shared" si="22"/>
        <v>0</v>
      </c>
      <c r="AD35" s="169">
        <f t="shared" si="22"/>
        <v>0</v>
      </c>
      <c r="AE35" s="169">
        <f t="shared" si="22"/>
        <v>0</v>
      </c>
      <c r="AF35" s="169">
        <f t="shared" si="22"/>
        <v>0</v>
      </c>
      <c r="AG35" s="169">
        <f t="shared" si="22"/>
        <v>0</v>
      </c>
      <c r="AH35" s="169">
        <f t="shared" si="22"/>
        <v>0</v>
      </c>
      <c r="AI35" s="170">
        <f t="shared" si="22"/>
        <v>0</v>
      </c>
      <c r="AJ35" s="489"/>
      <c r="AK35" s="53"/>
      <c r="AL35" s="53"/>
      <c r="AM35" s="53"/>
      <c r="AN35" s="53"/>
      <c r="AO35" s="53"/>
      <c r="AP35" s="53"/>
      <c r="AQ35" s="53"/>
      <c r="AR35" s="53"/>
    </row>
    <row r="36" spans="2:44" s="490" customFormat="1" ht="17.25" customHeight="1" thickBot="1">
      <c r="B36" s="480"/>
      <c r="C36" s="483"/>
      <c r="D36" s="483"/>
      <c r="E36" s="484"/>
      <c r="F36" s="485"/>
      <c r="G36" s="485"/>
      <c r="H36" s="486" t="s">
        <v>40</v>
      </c>
      <c r="I36" s="486" t="s">
        <v>40</v>
      </c>
      <c r="J36" s="486"/>
      <c r="K36" s="487"/>
      <c r="L36" s="487"/>
      <c r="M36" s="487"/>
      <c r="N36" s="487"/>
      <c r="O36" s="487"/>
      <c r="P36" s="487"/>
      <c r="Q36" s="487"/>
      <c r="R36" s="487"/>
      <c r="S36" s="487"/>
      <c r="T36" s="488"/>
      <c r="U36" s="487"/>
      <c r="V36" s="487"/>
      <c r="W36" s="487"/>
      <c r="X36" s="487"/>
      <c r="Y36" s="487"/>
      <c r="Z36" s="487"/>
      <c r="AA36" s="487"/>
      <c r="AB36" s="487"/>
      <c r="AC36" s="487"/>
      <c r="AD36" s="487"/>
      <c r="AE36" s="487"/>
      <c r="AF36" s="487"/>
      <c r="AG36" s="487"/>
      <c r="AH36" s="487"/>
      <c r="AI36" s="488"/>
      <c r="AJ36" s="489"/>
    </row>
    <row r="37" spans="2:44" s="30" customFormat="1" ht="17.25" customHeight="1">
      <c r="B37" s="480"/>
      <c r="C37" s="114" t="s">
        <v>130</v>
      </c>
      <c r="D37" s="60"/>
      <c r="E37" s="134" t="s">
        <v>57</v>
      </c>
      <c r="F37" s="61"/>
      <c r="G37" s="62"/>
      <c r="H37" s="63"/>
      <c r="I37" s="63"/>
      <c r="J37" s="63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5"/>
      <c r="AJ37" s="489"/>
      <c r="AK37" s="53"/>
      <c r="AL37" s="53"/>
      <c r="AM37" s="53"/>
      <c r="AN37" s="53"/>
      <c r="AO37" s="53"/>
      <c r="AP37" s="53"/>
      <c r="AQ37" s="53"/>
      <c r="AR37" s="53"/>
    </row>
    <row r="38" spans="2:44" s="30" customFormat="1" ht="17.25" customHeight="1">
      <c r="B38" s="480"/>
      <c r="C38" s="107" t="str">
        <f>'Sources and Uses'!B18</f>
        <v>HFA First Mortgage</v>
      </c>
      <c r="D38" s="93"/>
      <c r="E38" s="203">
        <f>Mortgage!C34</f>
        <v>4.8500000000000001E-2</v>
      </c>
      <c r="F38" s="50">
        <f>-SUM(Amortization!$D16:$E27)</f>
        <v>0</v>
      </c>
      <c r="G38" s="50">
        <f>-SUM(Amortization!$D16:$E27)</f>
        <v>0</v>
      </c>
      <c r="H38" s="50">
        <f>-SUM(Amortization!$D16:$E27)</f>
        <v>0</v>
      </c>
      <c r="I38" s="50">
        <f>-SUM(Amortization!$D16:$E27)</f>
        <v>0</v>
      </c>
      <c r="J38" s="50">
        <f>-SUM(Amortization!$D16:$E27)</f>
        <v>0</v>
      </c>
      <c r="K38" s="50">
        <f>-SUM(Amortization!$D16:$E27)</f>
        <v>0</v>
      </c>
      <c r="L38" s="50">
        <f>-SUM(Amortization!$D16:$E27)</f>
        <v>0</v>
      </c>
      <c r="M38" s="50">
        <f>-SUM(Amortization!$D16:$E27)</f>
        <v>0</v>
      </c>
      <c r="N38" s="50">
        <f>-SUM(Amortization!$D16:$E27)</f>
        <v>0</v>
      </c>
      <c r="O38" s="50">
        <f>-SUM(Amortization!$D16:$E27)</f>
        <v>0</v>
      </c>
      <c r="P38" s="50">
        <f>-SUM(Amortization!$D16:$E27)</f>
        <v>0</v>
      </c>
      <c r="Q38" s="50">
        <f>-SUM(Amortization!$D16:$E27)</f>
        <v>0</v>
      </c>
      <c r="R38" s="50">
        <f>-SUM(Amortization!$D16:$E27)</f>
        <v>0</v>
      </c>
      <c r="S38" s="50">
        <f>-SUM(Amortization!$D16:$E27)</f>
        <v>0</v>
      </c>
      <c r="T38" s="50">
        <f>-SUM(Amortization!$D16:$E27)</f>
        <v>0</v>
      </c>
      <c r="U38" s="50">
        <f>-SUM(Amortization!$D16:$E27)</f>
        <v>0</v>
      </c>
      <c r="V38" s="50">
        <f>-SUM(Amortization!$D16:$E27)</f>
        <v>0</v>
      </c>
      <c r="W38" s="50">
        <f>-SUM(Amortization!$D16:$E27)</f>
        <v>0</v>
      </c>
      <c r="X38" s="50">
        <f>-SUM(Amortization!$D16:$E27)</f>
        <v>0</v>
      </c>
      <c r="Y38" s="50">
        <f>-SUM(Amortization!$D16:$E27)</f>
        <v>0</v>
      </c>
      <c r="Z38" s="50">
        <f>-SUM(Amortization!$D16:$E27)</f>
        <v>0</v>
      </c>
      <c r="AA38" s="50">
        <f>-SUM(Amortization!$D16:$E27)</f>
        <v>0</v>
      </c>
      <c r="AB38" s="50">
        <f>-SUM(Amortization!$D16:$E27)</f>
        <v>0</v>
      </c>
      <c r="AC38" s="50">
        <f>-SUM(Amortization!$D16:$E27)</f>
        <v>0</v>
      </c>
      <c r="AD38" s="50">
        <f>-SUM(Amortization!$D16:$E27)</f>
        <v>0</v>
      </c>
      <c r="AE38" s="50">
        <f>-SUM(Amortization!$D16:$E27)</f>
        <v>0</v>
      </c>
      <c r="AF38" s="50">
        <f>-SUM(Amortization!$D16:$E27)</f>
        <v>0</v>
      </c>
      <c r="AG38" s="50">
        <f>-SUM(Amortization!$D16:$E27)</f>
        <v>0</v>
      </c>
      <c r="AH38" s="50">
        <f>-SUM(Amortization!$D16:$E27)</f>
        <v>0</v>
      </c>
      <c r="AI38" s="66">
        <f>-SUM(Amortization!$D16:$E27)</f>
        <v>0</v>
      </c>
      <c r="AJ38" s="489"/>
      <c r="AK38" s="53"/>
      <c r="AL38" s="53"/>
      <c r="AM38" s="53"/>
      <c r="AN38" s="53"/>
      <c r="AO38" s="53"/>
      <c r="AP38" s="53"/>
      <c r="AQ38" s="53"/>
      <c r="AR38" s="53"/>
    </row>
    <row r="39" spans="2:44" s="67" customFormat="1" ht="17.25" customHeight="1">
      <c r="B39" s="481"/>
      <c r="C39" s="231" t="str">
        <f>Mortgage!B35</f>
        <v>Servicing Fee:</v>
      </c>
      <c r="D39" s="103" t="str">
        <f>Mortgage!D35</f>
        <v>HFA</v>
      </c>
      <c r="E39" s="203">
        <f>Mortgage!C35</f>
        <v>2.5000000000000001E-3</v>
      </c>
      <c r="F39" s="50">
        <f>-SUM(Amortization!$G16*12)</f>
        <v>0</v>
      </c>
      <c r="G39" s="50">
        <f>-SUM(Amortization!$G28*12)</f>
        <v>0</v>
      </c>
      <c r="H39" s="50">
        <f>-SUM(Amortization!$G40*12)</f>
        <v>0</v>
      </c>
      <c r="I39" s="50">
        <f>-SUM(Amortization!$G52*12)</f>
        <v>0</v>
      </c>
      <c r="J39" s="50">
        <f>-SUM(Amortization!$G64*12)</f>
        <v>0</v>
      </c>
      <c r="K39" s="50">
        <f>-SUM(Amortization!$G76*12)</f>
        <v>0</v>
      </c>
      <c r="L39" s="50">
        <f>-SUM(Amortization!$G88*12)</f>
        <v>0</v>
      </c>
      <c r="M39" s="50">
        <f>-SUM(Amortization!$G100*12)</f>
        <v>0</v>
      </c>
      <c r="N39" s="50">
        <f>-SUM(Amortization!$G112*12)</f>
        <v>0</v>
      </c>
      <c r="O39" s="50">
        <f>-SUM(Amortization!$G124*12)</f>
        <v>0</v>
      </c>
      <c r="P39" s="50">
        <f>-SUM(Amortization!$G136*12)</f>
        <v>0</v>
      </c>
      <c r="Q39" s="50">
        <f>-SUM(Amortization!$G148*12)</f>
        <v>0</v>
      </c>
      <c r="R39" s="50">
        <f>-SUM(Amortization!$G160*12)</f>
        <v>0</v>
      </c>
      <c r="S39" s="50">
        <f>-SUM(Amortization!$G172*12)</f>
        <v>0</v>
      </c>
      <c r="T39" s="50">
        <f>-SUM(Amortization!$G184*12)</f>
        <v>0</v>
      </c>
      <c r="U39" s="50">
        <f>-SUM(Amortization!$G196*12)</f>
        <v>0</v>
      </c>
      <c r="V39" s="50">
        <f>-SUM(Amortization!$G208*12)</f>
        <v>0</v>
      </c>
      <c r="W39" s="50">
        <f>-SUM(Amortization!$G220*12)</f>
        <v>0</v>
      </c>
      <c r="X39" s="50">
        <f>-SUM(Amortization!$G232*12)</f>
        <v>0</v>
      </c>
      <c r="Y39" s="50">
        <f>-SUM(Amortization!$G244*12)</f>
        <v>0</v>
      </c>
      <c r="Z39" s="50">
        <f>-SUM(Amortization!$G256*12)</f>
        <v>0</v>
      </c>
      <c r="AA39" s="50">
        <f>-SUM(Amortization!$G268*12)</f>
        <v>0</v>
      </c>
      <c r="AB39" s="50">
        <f>-SUM(Amortization!$G280*12)</f>
        <v>0</v>
      </c>
      <c r="AC39" s="50">
        <f>-SUM(Amortization!$G292*12)</f>
        <v>0</v>
      </c>
      <c r="AD39" s="50">
        <f>-SUM(Amortization!$G304*12)</f>
        <v>0</v>
      </c>
      <c r="AE39" s="50">
        <f>-SUM(Amortization!$G316*12)</f>
        <v>0</v>
      </c>
      <c r="AF39" s="50">
        <f>-SUM(Amortization!$G328*12)</f>
        <v>0</v>
      </c>
      <c r="AG39" s="50">
        <f>-SUM(Amortization!$G340*12)</f>
        <v>0</v>
      </c>
      <c r="AH39" s="50">
        <f>-SUM(Amortization!$G352*12)</f>
        <v>0</v>
      </c>
      <c r="AI39" s="66">
        <f>-SUM(Amortization!$G364*12)</f>
        <v>0</v>
      </c>
      <c r="AJ39" s="501"/>
      <c r="AK39" s="99"/>
      <c r="AL39" s="99"/>
      <c r="AM39" s="99"/>
      <c r="AN39" s="99"/>
      <c r="AO39" s="99"/>
      <c r="AP39" s="99"/>
      <c r="AQ39" s="99"/>
      <c r="AR39" s="99"/>
    </row>
    <row r="40" spans="2:44" s="30" customFormat="1" ht="17.25" customHeight="1">
      <c r="B40" s="480"/>
      <c r="C40" s="232" t="str">
        <f>Mortgage!B38</f>
        <v>Servicing Fee:</v>
      </c>
      <c r="D40" s="103" t="str">
        <f>Mortgage!D38</f>
        <v>SONYMA</v>
      </c>
      <c r="E40" s="203">
        <f>Mortgage!C38</f>
        <v>5.0000000000000001E-3</v>
      </c>
      <c r="F40" s="50">
        <f>-SUM(Amortization!$J16*12)</f>
        <v>0</v>
      </c>
      <c r="G40" s="50">
        <f>-SUM(Amortization!$J28*12)</f>
        <v>0</v>
      </c>
      <c r="H40" s="50">
        <f>-SUM(Amortization!$J40*12)</f>
        <v>0</v>
      </c>
      <c r="I40" s="50">
        <f>-SUM(Amortization!$J52*12)</f>
        <v>0</v>
      </c>
      <c r="J40" s="50">
        <f>-SUM(Amortization!$J64*12)</f>
        <v>0</v>
      </c>
      <c r="K40" s="50">
        <f>-SUM(Amortization!$J76*12)</f>
        <v>0</v>
      </c>
      <c r="L40" s="50">
        <f>-SUM(Amortization!$J88*12)</f>
        <v>0</v>
      </c>
      <c r="M40" s="50">
        <f>-SUM(Amortization!$J100*12)</f>
        <v>0</v>
      </c>
      <c r="N40" s="50">
        <f>-SUM(Amortization!$J112*12)</f>
        <v>0</v>
      </c>
      <c r="O40" s="50">
        <f>-SUM(Amortization!$J124*12)</f>
        <v>0</v>
      </c>
      <c r="P40" s="50">
        <f>-SUM(Amortization!$J136*12)</f>
        <v>0</v>
      </c>
      <c r="Q40" s="50">
        <f>-SUM(Amortization!$J148*12)</f>
        <v>0</v>
      </c>
      <c r="R40" s="50">
        <f>-SUM(Amortization!$J160*12)</f>
        <v>0</v>
      </c>
      <c r="S40" s="50">
        <f>-SUM(Amortization!$J172*12)</f>
        <v>0</v>
      </c>
      <c r="T40" s="50">
        <f>-SUM(Amortization!$J184*12)</f>
        <v>0</v>
      </c>
      <c r="U40" s="50">
        <f>-SUM(Amortization!$J196*12)</f>
        <v>0</v>
      </c>
      <c r="V40" s="50">
        <f>-SUM(Amortization!$J208*12)</f>
        <v>0</v>
      </c>
      <c r="W40" s="50">
        <f>-SUM(Amortization!$J220*12)</f>
        <v>0</v>
      </c>
      <c r="X40" s="50">
        <f>-SUM(Amortization!$J232*12)</f>
        <v>0</v>
      </c>
      <c r="Y40" s="50">
        <f>-SUM(Amortization!$J244*12)</f>
        <v>0</v>
      </c>
      <c r="Z40" s="50">
        <f>-SUM(Amortization!$J256*12)</f>
        <v>0</v>
      </c>
      <c r="AA40" s="50">
        <f>-SUM(Amortization!$J268*12)</f>
        <v>0</v>
      </c>
      <c r="AB40" s="50">
        <f>-SUM(Amortization!$J280*12)</f>
        <v>0</v>
      </c>
      <c r="AC40" s="50">
        <f>-SUM(Amortization!$J292*12)</f>
        <v>0</v>
      </c>
      <c r="AD40" s="50">
        <f>-SUM(Amortization!$J304*12)</f>
        <v>0</v>
      </c>
      <c r="AE40" s="50">
        <f>-SUM(Amortization!$J316*12)</f>
        <v>0</v>
      </c>
      <c r="AF40" s="50">
        <f>-SUM(Amortization!$J328*12)</f>
        <v>0</v>
      </c>
      <c r="AG40" s="50">
        <f>-SUM(Amortization!$J340*12)</f>
        <v>0</v>
      </c>
      <c r="AH40" s="50">
        <f>-SUM(Amortization!$J352*12)</f>
        <v>0</v>
      </c>
      <c r="AI40" s="66">
        <f>-SUM(Amortization!$J364*12)</f>
        <v>0</v>
      </c>
      <c r="AJ40" s="489"/>
      <c r="AK40" s="53"/>
      <c r="AL40" s="53"/>
      <c r="AM40" s="53"/>
      <c r="AN40" s="53"/>
      <c r="AO40" s="53"/>
      <c r="AP40" s="53"/>
      <c r="AQ40" s="53"/>
      <c r="AR40" s="53"/>
    </row>
    <row r="41" spans="2:44" s="30" customFormat="1" ht="17.25" hidden="1" customHeight="1">
      <c r="B41" s="480"/>
      <c r="C41" s="232" t="str">
        <f>Mortgage!B36</f>
        <v>Servicing Fee:</v>
      </c>
      <c r="D41" s="103" t="s">
        <v>314</v>
      </c>
      <c r="E41" s="203">
        <f>Mortgage!C36</f>
        <v>0</v>
      </c>
      <c r="F41" s="50">
        <f>-SUM(Amortization!$H$16*12)</f>
        <v>0</v>
      </c>
      <c r="G41" s="50">
        <f>-SUM(Amortization!$H$28*12)</f>
        <v>0</v>
      </c>
      <c r="H41" s="50">
        <f>-SUM(Amortization!$H$40*12)</f>
        <v>0</v>
      </c>
      <c r="I41" s="50">
        <f>-SUM(Amortization!$H$52*12)</f>
        <v>0</v>
      </c>
      <c r="J41" s="50">
        <f>-SUM(Amortization!$H$64*12)</f>
        <v>0</v>
      </c>
      <c r="K41" s="50">
        <f>-SUM(Amortization!$H$76*12)</f>
        <v>0</v>
      </c>
      <c r="L41" s="50">
        <f>-SUM(Amortization!$H$88*12)</f>
        <v>0</v>
      </c>
      <c r="M41" s="50">
        <f>-SUM(Amortization!$H$100*12)</f>
        <v>0</v>
      </c>
      <c r="N41" s="50">
        <f>-SUM(Amortization!$H$112*12)</f>
        <v>0</v>
      </c>
      <c r="O41" s="50">
        <f>-SUM(Amortization!$H$124*12)</f>
        <v>0</v>
      </c>
      <c r="P41" s="50">
        <f>-SUM(Amortization!$H$136*12)</f>
        <v>0</v>
      </c>
      <c r="Q41" s="50">
        <f>-SUM(Amortization!$H$148*12)</f>
        <v>0</v>
      </c>
      <c r="R41" s="50">
        <f>-SUM(Amortization!$H$160*12)</f>
        <v>0</v>
      </c>
      <c r="S41" s="50">
        <f>-SUM(Amortization!$H$172*12)</f>
        <v>0</v>
      </c>
      <c r="T41" s="50">
        <f>-SUM(Amortization!$H$184*12)</f>
        <v>0</v>
      </c>
      <c r="U41" s="50">
        <f>-SUM(Amortization!$H$196*12)</f>
        <v>0</v>
      </c>
      <c r="V41" s="50">
        <f>-SUM(Amortization!$H$208*12)</f>
        <v>0</v>
      </c>
      <c r="W41" s="50">
        <f>-SUM(Amortization!$H$220*12)</f>
        <v>0</v>
      </c>
      <c r="X41" s="50">
        <f>-SUM(Amortization!$H$232*12)</f>
        <v>0</v>
      </c>
      <c r="Y41" s="50">
        <f>-SUM(Amortization!$H$244*12)</f>
        <v>0</v>
      </c>
      <c r="Z41" s="50">
        <f>-SUM(Amortization!$H$256*12)</f>
        <v>0</v>
      </c>
      <c r="AA41" s="50">
        <f>-SUM(Amortization!$H$268*12)</f>
        <v>0</v>
      </c>
      <c r="AB41" s="50">
        <f>-SUM(Amortization!$H$280*12)</f>
        <v>0</v>
      </c>
      <c r="AC41" s="50">
        <f>-SUM(Amortization!$H$292*12)</f>
        <v>0</v>
      </c>
      <c r="AD41" s="50">
        <f>-SUM(Amortization!$H$304*12)</f>
        <v>0</v>
      </c>
      <c r="AE41" s="50">
        <f>-SUM(Amortization!$H$316*12)</f>
        <v>0</v>
      </c>
      <c r="AF41" s="50">
        <f>-SUM(Amortization!$H$328*12)</f>
        <v>0</v>
      </c>
      <c r="AG41" s="50">
        <f>-SUM(Amortization!$H$340*12)</f>
        <v>0</v>
      </c>
      <c r="AH41" s="50">
        <f>-SUM(Amortization!$H$352*12)</f>
        <v>0</v>
      </c>
      <c r="AI41" s="66">
        <f>-SUM(Amortization!$H$364*12)</f>
        <v>0</v>
      </c>
      <c r="AJ41" s="489"/>
      <c r="AK41" s="53"/>
      <c r="AL41" s="53"/>
      <c r="AM41" s="53"/>
      <c r="AN41" s="53"/>
      <c r="AO41" s="53"/>
      <c r="AP41" s="53"/>
      <c r="AQ41" s="53"/>
      <c r="AR41" s="53"/>
    </row>
    <row r="42" spans="2:44" s="30" customFormat="1" ht="17.25" customHeight="1">
      <c r="B42" s="480"/>
      <c r="C42" s="232" t="str">
        <f>Mortgage!B37</f>
        <v>Servicing Fee:</v>
      </c>
      <c r="D42" s="103"/>
      <c r="E42" s="203">
        <f>Mortgage!C37</f>
        <v>0</v>
      </c>
      <c r="F42" s="50"/>
      <c r="G42" s="50"/>
      <c r="H42" s="50">
        <f>-SUM(Amortization!$H$40*12)</f>
        <v>0</v>
      </c>
      <c r="I42" s="50">
        <f>-SUM(Amortization!$H$52*12)</f>
        <v>0</v>
      </c>
      <c r="J42" s="50">
        <f>-SUM(Amortization!$H$64*12)</f>
        <v>0</v>
      </c>
      <c r="K42" s="50">
        <f>-SUM(Amortization!$H$76*12)</f>
        <v>0</v>
      </c>
      <c r="L42" s="50">
        <f>-SUM(Amortization!$H$88*12)</f>
        <v>0</v>
      </c>
      <c r="M42" s="50">
        <f>-SUM(Amortization!$H$100*12)</f>
        <v>0</v>
      </c>
      <c r="N42" s="50">
        <f>-SUM(Amortization!$H$112*12)</f>
        <v>0</v>
      </c>
      <c r="O42" s="50">
        <f>-SUM(Amortization!$H$124*12)</f>
        <v>0</v>
      </c>
      <c r="P42" s="50">
        <f>-SUM(Amortization!$H$136*12)</f>
        <v>0</v>
      </c>
      <c r="Q42" s="50">
        <f>-SUM(Amortization!$H$148*12)</f>
        <v>0</v>
      </c>
      <c r="R42" s="50">
        <f>-SUM(Amortization!$H$160*12)</f>
        <v>0</v>
      </c>
      <c r="S42" s="50">
        <f>-SUM(Amortization!$H$172*12)</f>
        <v>0</v>
      </c>
      <c r="T42" s="50">
        <f>-SUM(Amortization!$H$184*12)</f>
        <v>0</v>
      </c>
      <c r="U42" s="50">
        <f>-SUM(Amortization!$H$196*12)</f>
        <v>0</v>
      </c>
      <c r="V42" s="50">
        <f>-SUM(Amortization!$H$208*12)</f>
        <v>0</v>
      </c>
      <c r="W42" s="50">
        <f>-SUM(Amortization!$H$220*12)</f>
        <v>0</v>
      </c>
      <c r="X42" s="50">
        <f>-SUM(Amortization!$H$232*12)</f>
        <v>0</v>
      </c>
      <c r="Y42" s="50">
        <f>-SUM(Amortization!$H$244*12)</f>
        <v>0</v>
      </c>
      <c r="Z42" s="50">
        <f>-SUM(Amortization!$H$256*12)</f>
        <v>0</v>
      </c>
      <c r="AA42" s="50">
        <f>-SUM(Amortization!$H$268*12)</f>
        <v>0</v>
      </c>
      <c r="AB42" s="50">
        <f>-SUM(Amortization!$H$280*12)</f>
        <v>0</v>
      </c>
      <c r="AC42" s="50">
        <f>-SUM(Amortization!$H$292*12)</f>
        <v>0</v>
      </c>
      <c r="AD42" s="50">
        <f>-SUM(Amortization!$H$304*12)</f>
        <v>0</v>
      </c>
      <c r="AE42" s="50">
        <f>-SUM(Amortization!$H$316*12)</f>
        <v>0</v>
      </c>
      <c r="AF42" s="50">
        <f>-SUM(Amortization!$H$328*12)</f>
        <v>0</v>
      </c>
      <c r="AG42" s="50">
        <f>-SUM(Amortization!$H$340*12)</f>
        <v>0</v>
      </c>
      <c r="AH42" s="50">
        <f>-SUM(Amortization!$H$352*12)</f>
        <v>0</v>
      </c>
      <c r="AI42" s="66">
        <f>-SUM(Amortization!$H$364*12)</f>
        <v>0</v>
      </c>
      <c r="AJ42" s="489"/>
      <c r="AK42" s="53"/>
      <c r="AL42" s="53"/>
      <c r="AM42" s="53"/>
      <c r="AN42" s="53"/>
      <c r="AO42" s="53"/>
      <c r="AP42" s="53"/>
      <c r="AQ42" s="53"/>
      <c r="AR42" s="53"/>
    </row>
    <row r="43" spans="2:44" s="30" customFormat="1" ht="21.75" customHeight="1" thickBot="1">
      <c r="B43" s="480"/>
      <c r="C43" s="115" t="s">
        <v>231</v>
      </c>
      <c r="D43" s="68"/>
      <c r="E43" s="173">
        <f t="shared" ref="E43:AI43" si="23">SUM(E38:E40)</f>
        <v>5.6000000000000001E-2</v>
      </c>
      <c r="F43" s="69">
        <f t="shared" si="23"/>
        <v>0</v>
      </c>
      <c r="G43" s="69">
        <f t="shared" si="23"/>
        <v>0</v>
      </c>
      <c r="H43" s="69">
        <f t="shared" si="23"/>
        <v>0</v>
      </c>
      <c r="I43" s="69">
        <f t="shared" si="23"/>
        <v>0</v>
      </c>
      <c r="J43" s="69">
        <f t="shared" si="23"/>
        <v>0</v>
      </c>
      <c r="K43" s="69">
        <f t="shared" si="23"/>
        <v>0</v>
      </c>
      <c r="L43" s="69">
        <f t="shared" si="23"/>
        <v>0</v>
      </c>
      <c r="M43" s="69">
        <f t="shared" si="23"/>
        <v>0</v>
      </c>
      <c r="N43" s="69">
        <f t="shared" si="23"/>
        <v>0</v>
      </c>
      <c r="O43" s="69">
        <f t="shared" si="23"/>
        <v>0</v>
      </c>
      <c r="P43" s="69">
        <f t="shared" si="23"/>
        <v>0</v>
      </c>
      <c r="Q43" s="69">
        <f t="shared" si="23"/>
        <v>0</v>
      </c>
      <c r="R43" s="69">
        <f t="shared" si="23"/>
        <v>0</v>
      </c>
      <c r="S43" s="69">
        <f t="shared" si="23"/>
        <v>0</v>
      </c>
      <c r="T43" s="69">
        <f t="shared" si="23"/>
        <v>0</v>
      </c>
      <c r="U43" s="69">
        <f t="shared" si="23"/>
        <v>0</v>
      </c>
      <c r="V43" s="69">
        <f t="shared" si="23"/>
        <v>0</v>
      </c>
      <c r="W43" s="69">
        <f t="shared" si="23"/>
        <v>0</v>
      </c>
      <c r="X43" s="69">
        <f t="shared" si="23"/>
        <v>0</v>
      </c>
      <c r="Y43" s="69">
        <f t="shared" si="23"/>
        <v>0</v>
      </c>
      <c r="Z43" s="69">
        <f t="shared" si="23"/>
        <v>0</v>
      </c>
      <c r="AA43" s="69">
        <f t="shared" si="23"/>
        <v>0</v>
      </c>
      <c r="AB43" s="69">
        <f t="shared" si="23"/>
        <v>0</v>
      </c>
      <c r="AC43" s="69">
        <f t="shared" si="23"/>
        <v>0</v>
      </c>
      <c r="AD43" s="69">
        <f t="shared" si="23"/>
        <v>0</v>
      </c>
      <c r="AE43" s="69">
        <f t="shared" si="23"/>
        <v>0</v>
      </c>
      <c r="AF43" s="69">
        <f t="shared" si="23"/>
        <v>0</v>
      </c>
      <c r="AG43" s="69">
        <f t="shared" si="23"/>
        <v>0</v>
      </c>
      <c r="AH43" s="69">
        <f t="shared" si="23"/>
        <v>0</v>
      </c>
      <c r="AI43" s="70">
        <f t="shared" si="23"/>
        <v>0</v>
      </c>
      <c r="AJ43" s="489"/>
      <c r="AK43" s="53"/>
      <c r="AL43" s="53"/>
      <c r="AM43" s="53"/>
      <c r="AN43" s="53"/>
      <c r="AO43" s="53"/>
      <c r="AP43" s="53"/>
      <c r="AQ43" s="53"/>
      <c r="AR43" s="53"/>
    </row>
    <row r="44" spans="2:44" s="490" customFormat="1" ht="17.25" customHeight="1" thickBot="1">
      <c r="B44" s="480"/>
      <c r="C44" s="491"/>
      <c r="D44" s="483"/>
      <c r="E44" s="492"/>
      <c r="F44" s="485"/>
      <c r="G44" s="485"/>
      <c r="H44" s="485"/>
      <c r="I44" s="485"/>
      <c r="J44" s="485"/>
      <c r="K44" s="485"/>
      <c r="L44" s="485"/>
      <c r="M44" s="485"/>
      <c r="N44" s="485"/>
      <c r="O44" s="485"/>
      <c r="P44" s="485"/>
      <c r="Q44" s="485"/>
      <c r="R44" s="485"/>
      <c r="S44" s="485"/>
      <c r="T44" s="493"/>
      <c r="U44" s="485"/>
      <c r="V44" s="485"/>
      <c r="W44" s="485"/>
      <c r="X44" s="485"/>
      <c r="Y44" s="485"/>
      <c r="Z44" s="485"/>
      <c r="AA44" s="485"/>
      <c r="AB44" s="485"/>
      <c r="AC44" s="485"/>
      <c r="AD44" s="485"/>
      <c r="AE44" s="485"/>
      <c r="AF44" s="485"/>
      <c r="AG44" s="485"/>
      <c r="AH44" s="485"/>
      <c r="AI44" s="493"/>
      <c r="AJ44" s="489"/>
    </row>
    <row r="45" spans="2:44" s="30" customFormat="1" ht="17.25" customHeight="1">
      <c r="B45" s="480"/>
      <c r="C45" s="150" t="s">
        <v>213</v>
      </c>
      <c r="D45" s="100"/>
      <c r="E45" s="134" t="s">
        <v>57</v>
      </c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83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2"/>
      <c r="AJ45" s="489"/>
      <c r="AK45" s="53"/>
      <c r="AL45" s="53"/>
      <c r="AM45" s="53"/>
      <c r="AN45" s="53"/>
      <c r="AO45" s="53"/>
      <c r="AP45" s="53"/>
      <c r="AQ45" s="53"/>
      <c r="AR45" s="53"/>
    </row>
    <row r="46" spans="2:44" s="30" customFormat="1" ht="15" thickBot="1">
      <c r="B46" s="480"/>
      <c r="C46" s="151" t="s">
        <v>264</v>
      </c>
      <c r="D46" s="33">
        <f>'Sources and Uses'!B19</f>
        <v>0</v>
      </c>
      <c r="E46" s="203">
        <f>Mortgage!C60</f>
        <v>5.0000000000000001E-3</v>
      </c>
      <c r="F46" s="50">
        <f>-($E$46*'Sources and Uses'!$C$19)</f>
        <v>0</v>
      </c>
      <c r="G46" s="50">
        <f>-($E$46*'Sources and Uses'!$C$19)</f>
        <v>0</v>
      </c>
      <c r="H46" s="50">
        <f>-($E$46*'Sources and Uses'!$C$19)</f>
        <v>0</v>
      </c>
      <c r="I46" s="50">
        <f>-($E$46*'Sources and Uses'!$C$19)</f>
        <v>0</v>
      </c>
      <c r="J46" s="50">
        <f>-($E$46*'Sources and Uses'!$C$19)</f>
        <v>0</v>
      </c>
      <c r="K46" s="50">
        <f>-($E$46*'Sources and Uses'!$C$19)</f>
        <v>0</v>
      </c>
      <c r="L46" s="50">
        <f>-($E$46*'Sources and Uses'!$C$19)</f>
        <v>0</v>
      </c>
      <c r="M46" s="50">
        <f>-($E$46*'Sources and Uses'!$C$19)</f>
        <v>0</v>
      </c>
      <c r="N46" s="50">
        <f>-($E$46*'Sources and Uses'!$C$19)</f>
        <v>0</v>
      </c>
      <c r="O46" s="50">
        <f>-($E$46*'Sources and Uses'!$C$19)</f>
        <v>0</v>
      </c>
      <c r="P46" s="50">
        <f>-($E$46*'Sources and Uses'!$C$19)</f>
        <v>0</v>
      </c>
      <c r="Q46" s="50">
        <f>-($E$46*'Sources and Uses'!$C$19)</f>
        <v>0</v>
      </c>
      <c r="R46" s="50">
        <f>-($E$46*'Sources and Uses'!$C$19)</f>
        <v>0</v>
      </c>
      <c r="S46" s="50">
        <f>-($E$46*'Sources and Uses'!$C$19)</f>
        <v>0</v>
      </c>
      <c r="T46" s="182">
        <f>-($E$46*'Sources and Uses'!$C$19)</f>
        <v>0</v>
      </c>
      <c r="U46" s="50">
        <f>-($E$46*'Sources and Uses'!$C$19)</f>
        <v>0</v>
      </c>
      <c r="V46" s="50">
        <f>-($E$46*'Sources and Uses'!$C$19)</f>
        <v>0</v>
      </c>
      <c r="W46" s="50">
        <f>-($E$46*'Sources and Uses'!$C$19)</f>
        <v>0</v>
      </c>
      <c r="X46" s="50">
        <f>-($E$46*'Sources and Uses'!$C$19)</f>
        <v>0</v>
      </c>
      <c r="Y46" s="50">
        <f>-($E$46*'Sources and Uses'!$C$19)</f>
        <v>0</v>
      </c>
      <c r="Z46" s="154">
        <f>-($E$46*'Sources and Uses'!$C$19)</f>
        <v>0</v>
      </c>
      <c r="AA46" s="154">
        <f>-($E$46*'Sources and Uses'!$C$19)</f>
        <v>0</v>
      </c>
      <c r="AB46" s="154">
        <f>-($E$46*'Sources and Uses'!$C$19)</f>
        <v>0</v>
      </c>
      <c r="AC46" s="154">
        <f>-($E$46*'Sources and Uses'!$C$19)</f>
        <v>0</v>
      </c>
      <c r="AD46" s="154">
        <f>-($E$46*'Sources and Uses'!$C$19)</f>
        <v>0</v>
      </c>
      <c r="AE46" s="154">
        <f>-($E$46*'Sources and Uses'!$C$19)</f>
        <v>0</v>
      </c>
      <c r="AF46" s="154">
        <f>-($E$46*'Sources and Uses'!$C$19)</f>
        <v>0</v>
      </c>
      <c r="AG46" s="154">
        <f>-($E$46*'Sources and Uses'!$C$19)</f>
        <v>0</v>
      </c>
      <c r="AH46" s="154">
        <f>-($E$46*'Sources and Uses'!$C$19)</f>
        <v>0</v>
      </c>
      <c r="AI46" s="155">
        <f>-($E$46*'Sources and Uses'!$C$19)</f>
        <v>0</v>
      </c>
      <c r="AJ46" s="489"/>
      <c r="AK46" s="53"/>
      <c r="AL46" s="53"/>
      <c r="AM46" s="53"/>
      <c r="AN46" s="53"/>
      <c r="AO46" s="53"/>
      <c r="AP46" s="53"/>
      <c r="AQ46" s="53"/>
      <c r="AR46" s="53"/>
    </row>
    <row r="47" spans="2:44" s="30" customFormat="1">
      <c r="B47" s="480"/>
      <c r="C47" s="151" t="s">
        <v>308</v>
      </c>
      <c r="D47" s="33">
        <f>'Sources and Uses'!B20</f>
        <v>0</v>
      </c>
      <c r="E47" s="203">
        <f>Mortgage!C71</f>
        <v>5.0000000000000001E-3</v>
      </c>
      <c r="F47" s="50">
        <f>-($E$47*'Sources and Uses'!$C$20)</f>
        <v>0</v>
      </c>
      <c r="G47" s="50">
        <f>-($E$47*'Sources and Uses'!$C$20)</f>
        <v>0</v>
      </c>
      <c r="H47" s="50">
        <f>-($E$47*'Sources and Uses'!$C$20)</f>
        <v>0</v>
      </c>
      <c r="I47" s="50">
        <f>-($E$47*'Sources and Uses'!$C$20)</f>
        <v>0</v>
      </c>
      <c r="J47" s="50">
        <f>-($E$47*'Sources and Uses'!$C$20)</f>
        <v>0</v>
      </c>
      <c r="K47" s="50">
        <f>-($E$47*'Sources and Uses'!$C$20)</f>
        <v>0</v>
      </c>
      <c r="L47" s="50">
        <f>-($E$47*'Sources and Uses'!$C$20)</f>
        <v>0</v>
      </c>
      <c r="M47" s="50">
        <f>-($E$47*'Sources and Uses'!$C$20)</f>
        <v>0</v>
      </c>
      <c r="N47" s="50">
        <f>-($E$47*'Sources and Uses'!$C$20)</f>
        <v>0</v>
      </c>
      <c r="O47" s="50">
        <f>-($E$47*'Sources and Uses'!$C$20)</f>
        <v>0</v>
      </c>
      <c r="P47" s="50">
        <f>-($E$47*'Sources and Uses'!$C$20)</f>
        <v>0</v>
      </c>
      <c r="Q47" s="50">
        <f>-($E$47*'Sources and Uses'!$C$20)</f>
        <v>0</v>
      </c>
      <c r="R47" s="50">
        <f>-($E$47*'Sources and Uses'!$C$20)</f>
        <v>0</v>
      </c>
      <c r="S47" s="50">
        <f>-($E$47*'Sources and Uses'!$C$20)</f>
        <v>0</v>
      </c>
      <c r="T47" s="50">
        <f>-($E$47*'Sources and Uses'!$C$20)</f>
        <v>0</v>
      </c>
      <c r="U47" s="50">
        <f>-($E$47*'Sources and Uses'!$C$20)</f>
        <v>0</v>
      </c>
      <c r="V47" s="50">
        <f>-($E$47*'Sources and Uses'!$C$20)</f>
        <v>0</v>
      </c>
      <c r="W47" s="50">
        <f>-($E$47*'Sources and Uses'!$C$20)</f>
        <v>0</v>
      </c>
      <c r="X47" s="50">
        <f>-($E$47*'Sources and Uses'!$C$20)</f>
        <v>0</v>
      </c>
      <c r="Y47" s="50">
        <f>-($E$47*'Sources and Uses'!$C$20)</f>
        <v>0</v>
      </c>
      <c r="Z47" s="50">
        <f>-($E$47*'Sources and Uses'!$C$20)</f>
        <v>0</v>
      </c>
      <c r="AA47" s="50">
        <f>-($E$47*'Sources and Uses'!$C$20)</f>
        <v>0</v>
      </c>
      <c r="AB47" s="50">
        <f>-($E$47*'Sources and Uses'!$C$20)</f>
        <v>0</v>
      </c>
      <c r="AC47" s="50">
        <f>-($E$47*'Sources and Uses'!$C$20)</f>
        <v>0</v>
      </c>
      <c r="AD47" s="50">
        <f>-($E$47*'Sources and Uses'!$C$20)</f>
        <v>0</v>
      </c>
      <c r="AE47" s="50">
        <f>-($E$47*'Sources and Uses'!$C$20)</f>
        <v>0</v>
      </c>
      <c r="AF47" s="50">
        <f>-($E$47*'Sources and Uses'!$C$20)</f>
        <v>0</v>
      </c>
      <c r="AG47" s="50">
        <f>-($E$47*'Sources and Uses'!$C$20)</f>
        <v>0</v>
      </c>
      <c r="AH47" s="50">
        <f>-($E$47*'Sources and Uses'!$C$20)</f>
        <v>0</v>
      </c>
      <c r="AI47" s="66">
        <f>-($E$47*'Sources and Uses'!$C$20)</f>
        <v>0</v>
      </c>
      <c r="AJ47" s="489"/>
      <c r="AK47" s="53"/>
      <c r="AL47" s="53"/>
      <c r="AM47" s="53"/>
      <c r="AN47" s="53"/>
      <c r="AO47" s="53"/>
      <c r="AP47" s="53"/>
      <c r="AQ47" s="53"/>
      <c r="AR47" s="53"/>
    </row>
    <row r="48" spans="2:44" s="30" customFormat="1">
      <c r="B48" s="480"/>
      <c r="C48" s="151" t="s">
        <v>309</v>
      </c>
      <c r="D48" s="33">
        <f>'Sources and Uses'!B21</f>
        <v>0</v>
      </c>
      <c r="E48" s="203">
        <f>Mortgage!C82</f>
        <v>5.0000000000000001E-3</v>
      </c>
      <c r="F48" s="50">
        <f>-($E$48*'Sources and Uses'!$C$21)</f>
        <v>0</v>
      </c>
      <c r="G48" s="50">
        <f>-($E$48*'Sources and Uses'!$C$21)</f>
        <v>0</v>
      </c>
      <c r="H48" s="50">
        <f>-($E$48*'Sources and Uses'!$C$21)</f>
        <v>0</v>
      </c>
      <c r="I48" s="50">
        <f>-($E$48*'Sources and Uses'!$C$21)</f>
        <v>0</v>
      </c>
      <c r="J48" s="50">
        <f>-($E$48*'Sources and Uses'!$C$21)</f>
        <v>0</v>
      </c>
      <c r="K48" s="50">
        <f>-($E$48*'Sources and Uses'!$C$21)</f>
        <v>0</v>
      </c>
      <c r="L48" s="50">
        <f>-($E$48*'Sources and Uses'!$C$21)</f>
        <v>0</v>
      </c>
      <c r="M48" s="50">
        <f>-($E$48*'Sources and Uses'!$C$21)</f>
        <v>0</v>
      </c>
      <c r="N48" s="50">
        <f>-($E$48*'Sources and Uses'!$C$21)</f>
        <v>0</v>
      </c>
      <c r="O48" s="50">
        <f>-($E$48*'Sources and Uses'!$C$21)</f>
        <v>0</v>
      </c>
      <c r="P48" s="50">
        <f>-($E$48*'Sources and Uses'!$C$21)</f>
        <v>0</v>
      </c>
      <c r="Q48" s="50">
        <f>-($E$48*'Sources and Uses'!$C$21)</f>
        <v>0</v>
      </c>
      <c r="R48" s="50">
        <f>-($E$48*'Sources and Uses'!$C$21)</f>
        <v>0</v>
      </c>
      <c r="S48" s="50">
        <f>-($E$48*'Sources and Uses'!$C$21)</f>
        <v>0</v>
      </c>
      <c r="T48" s="182">
        <f>-($E$48*'Sources and Uses'!$C$21)</f>
        <v>0</v>
      </c>
      <c r="U48" s="50">
        <f>-($E$48*'Sources and Uses'!$C$21)</f>
        <v>0</v>
      </c>
      <c r="V48" s="50">
        <f>-($E$48*'Sources and Uses'!$C$21)</f>
        <v>0</v>
      </c>
      <c r="W48" s="50">
        <f>-($E$48*'Sources and Uses'!$C$21)</f>
        <v>0</v>
      </c>
      <c r="X48" s="50">
        <f>-($E$48*'Sources and Uses'!$C$21)</f>
        <v>0</v>
      </c>
      <c r="Y48" s="50">
        <f>-($E$48*'Sources and Uses'!$C$21)</f>
        <v>0</v>
      </c>
      <c r="Z48" s="50">
        <f>-($E$48*'Sources and Uses'!$C$21)</f>
        <v>0</v>
      </c>
      <c r="AA48" s="50">
        <f>-($E$48*'Sources and Uses'!$C$21)</f>
        <v>0</v>
      </c>
      <c r="AB48" s="50">
        <f>-($E$48*'Sources and Uses'!$C$21)</f>
        <v>0</v>
      </c>
      <c r="AC48" s="50">
        <f>-($E$48*'Sources and Uses'!$C$21)</f>
        <v>0</v>
      </c>
      <c r="AD48" s="50">
        <f>-($E$48*'Sources and Uses'!$C$21)</f>
        <v>0</v>
      </c>
      <c r="AE48" s="50">
        <f>-($E$48*'Sources and Uses'!$C$21)</f>
        <v>0</v>
      </c>
      <c r="AF48" s="50">
        <f>-($E$48*'Sources and Uses'!$C$21)</f>
        <v>0</v>
      </c>
      <c r="AG48" s="50">
        <f>-($E$48*'Sources and Uses'!$C$21)</f>
        <v>0</v>
      </c>
      <c r="AH48" s="50">
        <f>-($E$48*'Sources and Uses'!$C$21)</f>
        <v>0</v>
      </c>
      <c r="AI48" s="66">
        <f>-($E$48*'Sources and Uses'!$C$21)</f>
        <v>0</v>
      </c>
      <c r="AJ48" s="489"/>
      <c r="AK48" s="53"/>
      <c r="AL48" s="53"/>
      <c r="AM48" s="53"/>
      <c r="AN48" s="53"/>
      <c r="AO48" s="53"/>
      <c r="AP48" s="53"/>
      <c r="AQ48" s="53"/>
      <c r="AR48" s="53"/>
    </row>
    <row r="49" spans="2:44" s="30" customFormat="1" ht="15" thickBot="1">
      <c r="B49" s="480"/>
      <c r="C49" s="152" t="s">
        <v>310</v>
      </c>
      <c r="D49" s="153">
        <f>'Sources and Uses'!B22</f>
        <v>0</v>
      </c>
      <c r="E49" s="204">
        <f>Mortgage!C93</f>
        <v>5.0000000000000001E-3</v>
      </c>
      <c r="F49" s="154">
        <f>-($E$49*'Sources and Uses'!$C$22)</f>
        <v>0</v>
      </c>
      <c r="G49" s="154">
        <f>-($E$49*'Sources and Uses'!$C$22)</f>
        <v>0</v>
      </c>
      <c r="H49" s="154">
        <f>-($E$49*'Sources and Uses'!$C$22)</f>
        <v>0</v>
      </c>
      <c r="I49" s="154">
        <f>-($E$49*'Sources and Uses'!$C$22)</f>
        <v>0</v>
      </c>
      <c r="J49" s="154">
        <f>-($E$49*'Sources and Uses'!$C$22)</f>
        <v>0</v>
      </c>
      <c r="K49" s="154">
        <f>-($E$49*'Sources and Uses'!$C$22)</f>
        <v>0</v>
      </c>
      <c r="L49" s="154">
        <f>-($E$49*'Sources and Uses'!$C$22)</f>
        <v>0</v>
      </c>
      <c r="M49" s="154">
        <f>-($E$49*'Sources and Uses'!$C$22)</f>
        <v>0</v>
      </c>
      <c r="N49" s="154">
        <f>-($E$49*'Sources and Uses'!$C$22)</f>
        <v>0</v>
      </c>
      <c r="O49" s="154">
        <f>-($E$49*'Sources and Uses'!$C$22)</f>
        <v>0</v>
      </c>
      <c r="P49" s="154">
        <f>-($E$49*'Sources and Uses'!$C$22)</f>
        <v>0</v>
      </c>
      <c r="Q49" s="154">
        <f>-($E$49*'Sources and Uses'!$C$22)</f>
        <v>0</v>
      </c>
      <c r="R49" s="154">
        <f>-($E$49*'Sources and Uses'!$C$22)</f>
        <v>0</v>
      </c>
      <c r="S49" s="154">
        <f>-($E$49*'Sources and Uses'!$C$22)</f>
        <v>0</v>
      </c>
      <c r="T49" s="184">
        <f>-($E$49*'Sources and Uses'!$C$22)</f>
        <v>0</v>
      </c>
      <c r="U49" s="154">
        <f>-($E$49*'Sources and Uses'!$C$22)</f>
        <v>0</v>
      </c>
      <c r="V49" s="154">
        <f>-($E$49*'Sources and Uses'!$C$22)</f>
        <v>0</v>
      </c>
      <c r="W49" s="154">
        <f>-($E$49*'Sources and Uses'!$C$22)</f>
        <v>0</v>
      </c>
      <c r="X49" s="154">
        <f>-($E$49*'Sources and Uses'!$C$22)</f>
        <v>0</v>
      </c>
      <c r="Y49" s="154">
        <f>-($E$49*'Sources and Uses'!$C$22)</f>
        <v>0</v>
      </c>
      <c r="Z49" s="154">
        <f>-($E$49*'Sources and Uses'!$C$22)</f>
        <v>0</v>
      </c>
      <c r="AA49" s="154">
        <f>-($E$49*'Sources and Uses'!$C$22)</f>
        <v>0</v>
      </c>
      <c r="AB49" s="154">
        <f>-($E$49*'Sources and Uses'!$C$22)</f>
        <v>0</v>
      </c>
      <c r="AC49" s="154">
        <f>-($E$49*'Sources and Uses'!$C$22)</f>
        <v>0</v>
      </c>
      <c r="AD49" s="154">
        <f>-($E$49*'Sources and Uses'!$C$22)</f>
        <v>0</v>
      </c>
      <c r="AE49" s="154">
        <f>-($E$49*'Sources and Uses'!$C$22)</f>
        <v>0</v>
      </c>
      <c r="AF49" s="154">
        <f>-($E$49*'Sources and Uses'!$C$22)</f>
        <v>0</v>
      </c>
      <c r="AG49" s="154">
        <f>-($E$49*'Sources and Uses'!$C$22)</f>
        <v>0</v>
      </c>
      <c r="AH49" s="154">
        <f>-($E$49*'Sources and Uses'!$C$22)</f>
        <v>0</v>
      </c>
      <c r="AI49" s="155">
        <f>-($E$49*'Sources and Uses'!$C$22)</f>
        <v>0</v>
      </c>
      <c r="AJ49" s="489"/>
      <c r="AK49" s="53"/>
      <c r="AL49" s="53"/>
      <c r="AM49" s="53"/>
      <c r="AN49" s="53"/>
      <c r="AO49" s="53"/>
      <c r="AP49" s="53"/>
      <c r="AQ49" s="53"/>
      <c r="AR49" s="53"/>
    </row>
    <row r="50" spans="2:44" s="490" customFormat="1" ht="17.25" customHeight="1">
      <c r="B50" s="480"/>
      <c r="C50" s="494"/>
      <c r="D50" s="483"/>
      <c r="E50" s="495"/>
      <c r="F50" s="485"/>
      <c r="G50" s="485"/>
      <c r="H50" s="485"/>
      <c r="I50" s="485"/>
      <c r="J50" s="485"/>
      <c r="K50" s="485"/>
      <c r="L50" s="485"/>
      <c r="M50" s="485"/>
      <c r="N50" s="485"/>
      <c r="O50" s="485"/>
      <c r="P50" s="485"/>
      <c r="Q50" s="485"/>
      <c r="R50" s="485"/>
      <c r="S50" s="485"/>
      <c r="T50" s="953"/>
      <c r="U50" s="485"/>
      <c r="V50" s="485"/>
      <c r="W50" s="485"/>
      <c r="X50" s="485"/>
      <c r="Y50" s="485"/>
      <c r="Z50" s="485"/>
      <c r="AA50" s="485"/>
      <c r="AB50" s="485"/>
      <c r="AC50" s="485"/>
      <c r="AD50" s="485"/>
      <c r="AE50" s="485"/>
      <c r="AF50" s="485"/>
      <c r="AG50" s="485"/>
      <c r="AH50" s="485"/>
      <c r="AI50" s="485"/>
      <c r="AJ50" s="489"/>
    </row>
    <row r="51" spans="2:44" s="71" customFormat="1" ht="17.25" customHeight="1">
      <c r="B51" s="480"/>
      <c r="C51" s="955" t="s">
        <v>385</v>
      </c>
      <c r="D51" s="956"/>
      <c r="E51" s="957"/>
      <c r="F51" s="958">
        <f>SUM(F35:F40,F46,F47)</f>
        <v>0</v>
      </c>
      <c r="G51" s="958">
        <f t="shared" ref="G51:AI51" si="24">SUM(G35:G40,G46,G47)</f>
        <v>0</v>
      </c>
      <c r="H51" s="958">
        <f t="shared" si="24"/>
        <v>0</v>
      </c>
      <c r="I51" s="958">
        <f t="shared" si="24"/>
        <v>0</v>
      </c>
      <c r="J51" s="958">
        <f t="shared" si="24"/>
        <v>0</v>
      </c>
      <c r="K51" s="958">
        <f t="shared" si="24"/>
        <v>0</v>
      </c>
      <c r="L51" s="958">
        <f t="shared" si="24"/>
        <v>0</v>
      </c>
      <c r="M51" s="958">
        <f t="shared" si="24"/>
        <v>0</v>
      </c>
      <c r="N51" s="958">
        <f t="shared" si="24"/>
        <v>0</v>
      </c>
      <c r="O51" s="958">
        <f t="shared" si="24"/>
        <v>0</v>
      </c>
      <c r="P51" s="958">
        <f t="shared" si="24"/>
        <v>0</v>
      </c>
      <c r="Q51" s="958">
        <f t="shared" si="24"/>
        <v>0</v>
      </c>
      <c r="R51" s="958">
        <f t="shared" si="24"/>
        <v>0</v>
      </c>
      <c r="S51" s="958">
        <f t="shared" si="24"/>
        <v>0</v>
      </c>
      <c r="T51" s="958">
        <f t="shared" si="24"/>
        <v>0</v>
      </c>
      <c r="U51" s="958">
        <f t="shared" si="24"/>
        <v>0</v>
      </c>
      <c r="V51" s="958">
        <f t="shared" si="24"/>
        <v>0</v>
      </c>
      <c r="W51" s="958">
        <f t="shared" si="24"/>
        <v>0</v>
      </c>
      <c r="X51" s="958">
        <f t="shared" si="24"/>
        <v>0</v>
      </c>
      <c r="Y51" s="958">
        <f t="shared" si="24"/>
        <v>0</v>
      </c>
      <c r="Z51" s="958">
        <f t="shared" si="24"/>
        <v>0</v>
      </c>
      <c r="AA51" s="958">
        <f t="shared" si="24"/>
        <v>0</v>
      </c>
      <c r="AB51" s="958">
        <f t="shared" si="24"/>
        <v>0</v>
      </c>
      <c r="AC51" s="958">
        <f t="shared" si="24"/>
        <v>0</v>
      </c>
      <c r="AD51" s="958">
        <f t="shared" si="24"/>
        <v>0</v>
      </c>
      <c r="AE51" s="958">
        <f t="shared" si="24"/>
        <v>0</v>
      </c>
      <c r="AF51" s="958">
        <f t="shared" si="24"/>
        <v>0</v>
      </c>
      <c r="AG51" s="958">
        <f t="shared" si="24"/>
        <v>0</v>
      </c>
      <c r="AH51" s="958">
        <f t="shared" si="24"/>
        <v>0</v>
      </c>
      <c r="AI51" s="958">
        <f t="shared" si="24"/>
        <v>0</v>
      </c>
      <c r="AJ51" s="489"/>
      <c r="AK51" s="53"/>
      <c r="AL51" s="53"/>
      <c r="AM51" s="53"/>
      <c r="AN51" s="53"/>
      <c r="AO51" s="53"/>
      <c r="AP51" s="53"/>
      <c r="AQ51" s="53"/>
      <c r="AR51" s="53"/>
    </row>
    <row r="52" spans="2:44" s="71" customFormat="1" ht="17.25" customHeight="1">
      <c r="B52" s="480"/>
      <c r="C52" s="955" t="s">
        <v>415</v>
      </c>
      <c r="D52" s="959">
        <f>SUM(F51:T51)</f>
        <v>0</v>
      </c>
      <c r="E52" s="957"/>
      <c r="F52" s="958"/>
      <c r="G52" s="958"/>
      <c r="H52" s="958"/>
      <c r="I52" s="958"/>
      <c r="J52" s="958"/>
      <c r="K52" s="958"/>
      <c r="L52" s="958"/>
      <c r="M52" s="958"/>
      <c r="N52" s="958"/>
      <c r="O52" s="958"/>
      <c r="P52" s="958"/>
      <c r="Q52" s="958"/>
      <c r="R52" s="958"/>
      <c r="S52" s="958"/>
      <c r="T52" s="958"/>
      <c r="U52" s="958"/>
      <c r="V52" s="958"/>
      <c r="W52" s="958"/>
      <c r="X52" s="958"/>
      <c r="Y52" s="958"/>
      <c r="Z52" s="958"/>
      <c r="AA52" s="958"/>
      <c r="AB52" s="958"/>
      <c r="AC52" s="958"/>
      <c r="AD52" s="958"/>
      <c r="AE52" s="958"/>
      <c r="AF52" s="958"/>
      <c r="AG52" s="958"/>
      <c r="AH52" s="958"/>
      <c r="AI52" s="958"/>
      <c r="AJ52" s="489"/>
      <c r="AK52" s="53"/>
      <c r="AL52" s="53"/>
      <c r="AM52" s="53"/>
      <c r="AN52" s="53"/>
      <c r="AO52" s="53"/>
      <c r="AP52" s="53"/>
      <c r="AQ52" s="53"/>
      <c r="AR52" s="53"/>
    </row>
    <row r="53" spans="2:44" s="490" customFormat="1" ht="17.25" customHeight="1" thickBot="1">
      <c r="B53" s="480"/>
      <c r="C53" s="479"/>
      <c r="D53" s="480"/>
      <c r="E53" s="480"/>
      <c r="F53" s="496"/>
      <c r="G53" s="496"/>
      <c r="H53" s="496"/>
      <c r="I53" s="496"/>
      <c r="J53" s="496"/>
      <c r="K53" s="496"/>
      <c r="L53" s="496"/>
      <c r="M53" s="496"/>
      <c r="N53" s="496"/>
      <c r="O53" s="496"/>
      <c r="P53" s="496"/>
      <c r="Q53" s="496"/>
      <c r="R53" s="496"/>
      <c r="S53" s="496"/>
      <c r="T53" s="954"/>
      <c r="U53" s="496"/>
      <c r="V53" s="496"/>
      <c r="W53" s="496"/>
      <c r="X53" s="496"/>
      <c r="Y53" s="496"/>
      <c r="Z53" s="496"/>
      <c r="AA53" s="496"/>
      <c r="AB53" s="496"/>
      <c r="AC53" s="496"/>
      <c r="AD53" s="496"/>
      <c r="AE53" s="496"/>
      <c r="AF53" s="496"/>
      <c r="AG53" s="496"/>
      <c r="AH53" s="496"/>
      <c r="AI53" s="954"/>
      <c r="AJ53" s="489"/>
    </row>
    <row r="54" spans="2:44" s="53" customFormat="1" ht="19.5" customHeight="1">
      <c r="B54" s="480"/>
      <c r="C54" s="194" t="s">
        <v>132</v>
      </c>
      <c r="D54" s="174"/>
      <c r="E54" s="174"/>
      <c r="F54" s="175" t="e">
        <f t="shared" ref="F54:AI54" si="25">(-F28/(F34+F43+F46+F47))</f>
        <v>#DIV/0!</v>
      </c>
      <c r="G54" s="175" t="e">
        <f t="shared" si="25"/>
        <v>#DIV/0!</v>
      </c>
      <c r="H54" s="175" t="e">
        <f t="shared" si="25"/>
        <v>#DIV/0!</v>
      </c>
      <c r="I54" s="175" t="e">
        <f t="shared" si="25"/>
        <v>#DIV/0!</v>
      </c>
      <c r="J54" s="175" t="e">
        <f t="shared" si="25"/>
        <v>#DIV/0!</v>
      </c>
      <c r="K54" s="175" t="e">
        <f t="shared" si="25"/>
        <v>#DIV/0!</v>
      </c>
      <c r="L54" s="175" t="e">
        <f t="shared" si="25"/>
        <v>#DIV/0!</v>
      </c>
      <c r="M54" s="175" t="e">
        <f t="shared" si="25"/>
        <v>#DIV/0!</v>
      </c>
      <c r="N54" s="175" t="e">
        <f t="shared" si="25"/>
        <v>#DIV/0!</v>
      </c>
      <c r="O54" s="175" t="e">
        <f t="shared" si="25"/>
        <v>#DIV/0!</v>
      </c>
      <c r="P54" s="175" t="e">
        <f t="shared" si="25"/>
        <v>#DIV/0!</v>
      </c>
      <c r="Q54" s="175" t="e">
        <f t="shared" si="25"/>
        <v>#DIV/0!</v>
      </c>
      <c r="R54" s="175" t="e">
        <f t="shared" si="25"/>
        <v>#DIV/0!</v>
      </c>
      <c r="S54" s="175" t="e">
        <f t="shared" si="25"/>
        <v>#DIV/0!</v>
      </c>
      <c r="T54" s="176" t="e">
        <f t="shared" si="25"/>
        <v>#DIV/0!</v>
      </c>
      <c r="U54" s="175" t="e">
        <f t="shared" si="25"/>
        <v>#DIV/0!</v>
      </c>
      <c r="V54" s="175" t="e">
        <f t="shared" si="25"/>
        <v>#DIV/0!</v>
      </c>
      <c r="W54" s="175" t="e">
        <f t="shared" si="25"/>
        <v>#DIV/0!</v>
      </c>
      <c r="X54" s="175" t="e">
        <f t="shared" si="25"/>
        <v>#DIV/0!</v>
      </c>
      <c r="Y54" s="175" t="e">
        <f t="shared" si="25"/>
        <v>#DIV/0!</v>
      </c>
      <c r="Z54" s="175" t="e">
        <f t="shared" si="25"/>
        <v>#DIV/0!</v>
      </c>
      <c r="AA54" s="175" t="e">
        <f t="shared" si="25"/>
        <v>#DIV/0!</v>
      </c>
      <c r="AB54" s="175" t="e">
        <f t="shared" si="25"/>
        <v>#DIV/0!</v>
      </c>
      <c r="AC54" s="175" t="e">
        <f t="shared" si="25"/>
        <v>#DIV/0!</v>
      </c>
      <c r="AD54" s="175" t="e">
        <f t="shared" si="25"/>
        <v>#DIV/0!</v>
      </c>
      <c r="AE54" s="175" t="e">
        <f t="shared" si="25"/>
        <v>#DIV/0!</v>
      </c>
      <c r="AF54" s="175" t="e">
        <f t="shared" si="25"/>
        <v>#DIV/0!</v>
      </c>
      <c r="AG54" s="175" t="e">
        <f t="shared" si="25"/>
        <v>#DIV/0!</v>
      </c>
      <c r="AH54" s="175" t="e">
        <f t="shared" si="25"/>
        <v>#DIV/0!</v>
      </c>
      <c r="AI54" s="175" t="e">
        <f t="shared" si="25"/>
        <v>#DIV/0!</v>
      </c>
      <c r="AJ54" s="502"/>
    </row>
    <row r="55" spans="2:44" s="53" customFormat="1" ht="17.25" customHeight="1" thickBot="1">
      <c r="B55" s="480"/>
      <c r="C55" s="195" t="s">
        <v>133</v>
      </c>
      <c r="D55" s="177"/>
      <c r="E55" s="177"/>
      <c r="F55" s="178" t="str">
        <f t="shared" ref="F55:AI55" si="26">IF(F38=0," ",F35/-(F43+F46+F47))</f>
        <v xml:space="preserve"> </v>
      </c>
      <c r="G55" s="178" t="str">
        <f t="shared" si="26"/>
        <v xml:space="preserve"> </v>
      </c>
      <c r="H55" s="178" t="str">
        <f t="shared" si="26"/>
        <v xml:space="preserve"> </v>
      </c>
      <c r="I55" s="178" t="str">
        <f t="shared" si="26"/>
        <v xml:space="preserve"> </v>
      </c>
      <c r="J55" s="178" t="str">
        <f t="shared" si="26"/>
        <v xml:space="preserve"> </v>
      </c>
      <c r="K55" s="178" t="str">
        <f t="shared" si="26"/>
        <v xml:space="preserve"> </v>
      </c>
      <c r="L55" s="178" t="str">
        <f t="shared" si="26"/>
        <v xml:space="preserve"> </v>
      </c>
      <c r="M55" s="178" t="str">
        <f t="shared" si="26"/>
        <v xml:space="preserve"> </v>
      </c>
      <c r="N55" s="178" t="str">
        <f t="shared" si="26"/>
        <v xml:space="preserve"> </v>
      </c>
      <c r="O55" s="178" t="str">
        <f t="shared" si="26"/>
        <v xml:space="preserve"> </v>
      </c>
      <c r="P55" s="178" t="str">
        <f t="shared" si="26"/>
        <v xml:space="preserve"> </v>
      </c>
      <c r="Q55" s="178" t="str">
        <f t="shared" si="26"/>
        <v xml:space="preserve"> </v>
      </c>
      <c r="R55" s="178" t="str">
        <f t="shared" si="26"/>
        <v xml:space="preserve"> </v>
      </c>
      <c r="S55" s="178" t="str">
        <f t="shared" si="26"/>
        <v xml:space="preserve"> </v>
      </c>
      <c r="T55" s="179" t="str">
        <f t="shared" si="26"/>
        <v xml:space="preserve"> </v>
      </c>
      <c r="U55" s="178" t="str">
        <f t="shared" si="26"/>
        <v xml:space="preserve"> </v>
      </c>
      <c r="V55" s="178" t="str">
        <f t="shared" si="26"/>
        <v xml:space="preserve"> </v>
      </c>
      <c r="W55" s="178" t="str">
        <f t="shared" si="26"/>
        <v xml:space="preserve"> </v>
      </c>
      <c r="X55" s="178" t="str">
        <f t="shared" si="26"/>
        <v xml:space="preserve"> </v>
      </c>
      <c r="Y55" s="178" t="str">
        <f t="shared" si="26"/>
        <v xml:space="preserve"> </v>
      </c>
      <c r="Z55" s="178" t="str">
        <f t="shared" si="26"/>
        <v xml:space="preserve"> </v>
      </c>
      <c r="AA55" s="178" t="str">
        <f t="shared" si="26"/>
        <v xml:space="preserve"> </v>
      </c>
      <c r="AB55" s="178" t="str">
        <f t="shared" si="26"/>
        <v xml:space="preserve"> </v>
      </c>
      <c r="AC55" s="178" t="str">
        <f t="shared" si="26"/>
        <v xml:space="preserve"> </v>
      </c>
      <c r="AD55" s="178" t="str">
        <f t="shared" si="26"/>
        <v xml:space="preserve"> </v>
      </c>
      <c r="AE55" s="178" t="str">
        <f t="shared" si="26"/>
        <v xml:space="preserve"> </v>
      </c>
      <c r="AF55" s="178" t="str">
        <f t="shared" si="26"/>
        <v xml:space="preserve"> </v>
      </c>
      <c r="AG55" s="178" t="str">
        <f t="shared" si="26"/>
        <v xml:space="preserve"> </v>
      </c>
      <c r="AH55" s="178" t="str">
        <f t="shared" si="26"/>
        <v xml:space="preserve"> </v>
      </c>
      <c r="AI55" s="178" t="str">
        <f t="shared" si="26"/>
        <v xml:space="preserve"> </v>
      </c>
      <c r="AJ55" s="502"/>
    </row>
    <row r="56" spans="2:44" s="490" customFormat="1" ht="17.25" customHeight="1">
      <c r="B56" s="482"/>
      <c r="F56" s="497"/>
      <c r="G56" s="497"/>
      <c r="H56" s="498"/>
      <c r="I56" s="498"/>
      <c r="J56" s="498"/>
      <c r="K56" s="498"/>
      <c r="L56" s="498"/>
      <c r="M56" s="498"/>
      <c r="N56" s="498"/>
      <c r="O56" s="498"/>
      <c r="P56" s="498"/>
      <c r="Q56" s="498"/>
      <c r="R56" s="498"/>
      <c r="S56" s="498"/>
      <c r="T56" s="498"/>
      <c r="U56" s="498"/>
      <c r="V56" s="498"/>
      <c r="W56" s="498"/>
      <c r="X56" s="498"/>
      <c r="Y56" s="498"/>
      <c r="Z56" s="498"/>
      <c r="AA56" s="498"/>
    </row>
    <row r="57" spans="2:44" s="30" customFormat="1" ht="17.25" customHeight="1">
      <c r="B57" s="482"/>
      <c r="C57" s="20"/>
      <c r="D57" s="20"/>
      <c r="E57" s="20"/>
      <c r="F57" s="73"/>
      <c r="G57" s="73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J57" s="490"/>
    </row>
    <row r="58" spans="2:44" s="30" customFormat="1" ht="17.25" customHeight="1">
      <c r="B58" s="482"/>
      <c r="C58" s="20"/>
      <c r="D58" s="20"/>
      <c r="E58" s="20"/>
      <c r="F58" s="73"/>
      <c r="G58" s="73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J58" s="490"/>
    </row>
    <row r="59" spans="2:44" s="30" customFormat="1" ht="17.25" customHeight="1">
      <c r="B59" s="482"/>
      <c r="C59" s="20"/>
      <c r="D59" s="20"/>
      <c r="E59" s="20"/>
      <c r="F59" s="73"/>
      <c r="G59" s="73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J59" s="490"/>
    </row>
    <row r="60" spans="2:44" s="30" customFormat="1" ht="17.25" customHeight="1">
      <c r="B60" s="482"/>
      <c r="C60" s="20"/>
      <c r="D60" s="20"/>
      <c r="E60" s="20"/>
      <c r="F60" s="73"/>
      <c r="G60" s="73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J60" s="490"/>
    </row>
    <row r="61" spans="2:44" s="30" customFormat="1" ht="17.25" customHeight="1">
      <c r="B61" s="482"/>
      <c r="C61" s="20"/>
      <c r="D61" s="20"/>
      <c r="E61" s="20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J61" s="490"/>
    </row>
    <row r="62" spans="2:44" s="30" customFormat="1" ht="17.25" customHeight="1">
      <c r="B62" s="482"/>
      <c r="C62" s="20"/>
      <c r="D62" s="20"/>
      <c r="E62" s="20"/>
      <c r="F62" s="73"/>
      <c r="G62" s="73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J62" s="490"/>
    </row>
    <row r="63" spans="2:44" s="30" customFormat="1" ht="17.25" customHeight="1">
      <c r="B63" s="482"/>
      <c r="C63" s="20"/>
      <c r="D63" s="20"/>
      <c r="E63" s="20"/>
      <c r="F63" s="73"/>
      <c r="G63" s="73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J63" s="490"/>
    </row>
    <row r="64" spans="2:44" s="30" customFormat="1" ht="17.25" customHeight="1">
      <c r="B64" s="482"/>
      <c r="C64" s="20"/>
      <c r="D64" s="20"/>
      <c r="E64" s="20"/>
      <c r="F64" s="73"/>
      <c r="G64" s="73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J64" s="490"/>
    </row>
    <row r="65" spans="6:27" ht="17.25" customHeight="1">
      <c r="F65" s="75"/>
      <c r="G65" s="75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</row>
    <row r="66" spans="6:27" ht="17.25" customHeight="1">
      <c r="F66" s="75"/>
      <c r="G66" s="75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</row>
    <row r="67" spans="6:27" ht="17.25" customHeight="1">
      <c r="F67" s="75"/>
      <c r="G67" s="75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</row>
    <row r="68" spans="6:27" ht="17.25" customHeight="1">
      <c r="F68" s="75"/>
      <c r="G68" s="75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</row>
    <row r="69" spans="6:27" ht="17.25" customHeight="1">
      <c r="F69" s="75"/>
      <c r="G69" s="75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</row>
    <row r="70" spans="6:27" ht="17.25" customHeight="1">
      <c r="F70" s="75"/>
      <c r="G70" s="75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</row>
    <row r="71" spans="6:27" ht="17.25" customHeight="1">
      <c r="F71" s="75"/>
      <c r="G71" s="75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</row>
    <row r="72" spans="6:27" ht="17.25" customHeight="1">
      <c r="F72" s="75"/>
      <c r="G72" s="75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</row>
    <row r="73" spans="6:27" ht="17.25" customHeight="1">
      <c r="F73" s="75"/>
      <c r="G73" s="75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</row>
    <row r="74" spans="6:27" ht="17.25" customHeight="1">
      <c r="F74" s="75"/>
      <c r="G74" s="75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</row>
    <row r="75" spans="6:27" ht="17.25" customHeight="1">
      <c r="F75" s="75"/>
      <c r="G75" s="75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</row>
    <row r="76" spans="6:27" ht="17.25" customHeight="1">
      <c r="F76" s="75"/>
      <c r="G76" s="75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</row>
    <row r="77" spans="6:27" ht="17.25" customHeight="1">
      <c r="F77" s="75"/>
      <c r="G77" s="75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</row>
    <row r="78" spans="6:27" ht="17.25" customHeight="1">
      <c r="F78" s="75"/>
      <c r="G78" s="75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</row>
    <row r="79" spans="6:27" ht="17.25" customHeight="1">
      <c r="F79" s="75"/>
      <c r="G79" s="75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</row>
    <row r="80" spans="6:27" ht="17.25" customHeight="1">
      <c r="F80" s="75"/>
      <c r="G80" s="75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</row>
    <row r="81" spans="6:27" ht="17.25" customHeight="1">
      <c r="F81" s="75"/>
      <c r="G81" s="75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</row>
    <row r="82" spans="6:27" ht="17.25" customHeight="1">
      <c r="F82" s="75"/>
      <c r="G82" s="75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</row>
    <row r="83" spans="6:27" ht="17.25" customHeight="1">
      <c r="F83" s="75"/>
      <c r="G83" s="75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</row>
    <row r="84" spans="6:27" ht="17.25" customHeight="1">
      <c r="F84" s="75"/>
      <c r="G84" s="75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</row>
    <row r="85" spans="6:27" ht="17.25" customHeight="1">
      <c r="F85" s="75"/>
      <c r="G85" s="75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</row>
    <row r="86" spans="6:27" ht="17.25" customHeight="1">
      <c r="F86" s="75"/>
      <c r="G86" s="75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</row>
    <row r="87" spans="6:27" ht="17.25" customHeight="1">
      <c r="F87" s="75"/>
      <c r="G87" s="75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</row>
    <row r="88" spans="6:27" ht="17.25" customHeight="1">
      <c r="F88" s="75"/>
      <c r="G88" s="75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</row>
    <row r="89" spans="6:27" ht="17.25" customHeight="1">
      <c r="F89" s="75"/>
      <c r="G89" s="75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</row>
    <row r="90" spans="6:27" ht="17.25" customHeight="1">
      <c r="F90" s="75"/>
      <c r="G90" s="75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</row>
    <row r="91" spans="6:27" ht="17.25" customHeight="1">
      <c r="F91" s="75"/>
      <c r="G91" s="75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</row>
    <row r="92" spans="6:27" ht="17.25" customHeight="1">
      <c r="F92" s="75"/>
      <c r="G92" s="75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</row>
    <row r="93" spans="6:27" ht="17.25" customHeight="1">
      <c r="F93" s="75"/>
      <c r="G93" s="75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</row>
    <row r="94" spans="6:27" ht="17.25" customHeight="1">
      <c r="F94" s="75"/>
      <c r="G94" s="75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</row>
    <row r="95" spans="6:27" ht="17.25" customHeight="1">
      <c r="F95" s="75"/>
      <c r="G95" s="75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</row>
    <row r="96" spans="6:27" ht="17.25" customHeight="1">
      <c r="F96" s="75"/>
      <c r="G96" s="75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</row>
    <row r="97" spans="6:27" ht="17.25" customHeight="1">
      <c r="F97" s="75"/>
      <c r="G97" s="75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</row>
    <row r="98" spans="6:27" ht="17.25" customHeight="1">
      <c r="F98" s="75"/>
      <c r="G98" s="75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</row>
    <row r="99" spans="6:27" ht="17.25" customHeight="1">
      <c r="F99" s="75"/>
      <c r="G99" s="75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</row>
    <row r="100" spans="6:27" ht="17.25" customHeight="1">
      <c r="F100" s="75"/>
      <c r="G100" s="75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</row>
    <row r="101" spans="6:27" ht="17.25" customHeight="1">
      <c r="F101" s="75"/>
      <c r="G101" s="75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</row>
    <row r="102" spans="6:27" ht="17.25" customHeight="1">
      <c r="F102" s="75"/>
      <c r="G102" s="75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</row>
    <row r="103" spans="6:27" ht="17.25" customHeight="1">
      <c r="F103" s="75"/>
      <c r="G103" s="75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</row>
    <row r="104" spans="6:27" ht="17.25" customHeight="1">
      <c r="F104" s="75"/>
      <c r="G104" s="75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</row>
    <row r="105" spans="6:27" ht="17.25" customHeight="1">
      <c r="F105" s="75"/>
      <c r="G105" s="75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</row>
    <row r="106" spans="6:27" ht="17.25" customHeight="1">
      <c r="F106" s="75"/>
      <c r="G106" s="75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</row>
    <row r="107" spans="6:27" ht="17.25" customHeight="1">
      <c r="F107" s="75"/>
      <c r="G107" s="75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</row>
    <row r="108" spans="6:27" ht="17.25" customHeight="1">
      <c r="F108" s="75"/>
      <c r="G108" s="75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</row>
    <row r="109" spans="6:27" ht="17.25" customHeight="1">
      <c r="F109" s="75"/>
      <c r="G109" s="75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</row>
    <row r="110" spans="6:27" ht="17.25" customHeight="1">
      <c r="F110" s="75"/>
      <c r="G110" s="75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</row>
    <row r="111" spans="6:27">
      <c r="F111" s="75"/>
      <c r="G111" s="75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</row>
    <row r="112" spans="6:27">
      <c r="F112" s="75"/>
      <c r="G112" s="75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</row>
    <row r="113" spans="6:27">
      <c r="F113" s="75"/>
      <c r="G113" s="75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</row>
    <row r="114" spans="6:27">
      <c r="F114" s="75"/>
      <c r="G114" s="75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</row>
    <row r="115" spans="6:27">
      <c r="F115" s="75"/>
      <c r="G115" s="75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</row>
    <row r="116" spans="6:27">
      <c r="F116" s="75"/>
      <c r="G116" s="75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</row>
    <row r="117" spans="6:27">
      <c r="F117" s="75"/>
      <c r="G117" s="75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</row>
    <row r="118" spans="6:27">
      <c r="F118" s="75"/>
      <c r="G118" s="75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</row>
    <row r="119" spans="6:27">
      <c r="F119" s="75"/>
      <c r="G119" s="75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</row>
    <row r="120" spans="6:27">
      <c r="F120" s="75"/>
      <c r="G120" s="75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</row>
    <row r="121" spans="6:27">
      <c r="F121" s="75"/>
      <c r="G121" s="75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</row>
    <row r="122" spans="6:27">
      <c r="F122" s="75"/>
      <c r="G122" s="75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</row>
    <row r="123" spans="6:27">
      <c r="F123" s="75"/>
      <c r="G123" s="75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</row>
    <row r="124" spans="6:27">
      <c r="F124" s="75"/>
      <c r="G124" s="75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</row>
    <row r="125" spans="6:27">
      <c r="F125" s="75"/>
      <c r="G125" s="75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</row>
    <row r="126" spans="6:27">
      <c r="F126" s="75"/>
      <c r="G126" s="75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</row>
    <row r="127" spans="6:27">
      <c r="F127" s="75"/>
      <c r="G127" s="75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</row>
    <row r="128" spans="6:27">
      <c r="F128" s="75"/>
      <c r="G128" s="75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</row>
    <row r="129" spans="6:27">
      <c r="F129" s="75"/>
      <c r="G129" s="75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</row>
    <row r="130" spans="6:27">
      <c r="F130" s="75"/>
      <c r="G130" s="75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</row>
    <row r="131" spans="6:27">
      <c r="F131" s="75"/>
      <c r="G131" s="75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</row>
    <row r="132" spans="6:27">
      <c r="F132" s="75"/>
      <c r="G132" s="75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</row>
    <row r="133" spans="6:27">
      <c r="F133" s="75"/>
      <c r="G133" s="75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</row>
    <row r="134" spans="6:27">
      <c r="F134" s="75"/>
      <c r="G134" s="75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</row>
    <row r="135" spans="6:27">
      <c r="F135" s="75"/>
      <c r="G135" s="75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</row>
    <row r="136" spans="6:27">
      <c r="F136" s="75"/>
      <c r="G136" s="75"/>
      <c r="H136" s="76" t="s">
        <v>40</v>
      </c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</row>
    <row r="137" spans="6:27">
      <c r="F137" s="75"/>
      <c r="G137" s="75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</row>
    <row r="138" spans="6:27">
      <c r="F138" s="75"/>
      <c r="G138" s="75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</row>
    <row r="139" spans="6:27">
      <c r="F139" s="75"/>
      <c r="G139" s="75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</row>
    <row r="140" spans="6:27">
      <c r="F140" s="75"/>
      <c r="G140" s="75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</row>
    <row r="141" spans="6:27">
      <c r="F141" s="75"/>
      <c r="G141" s="75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</row>
    <row r="142" spans="6:27">
      <c r="F142" s="75"/>
      <c r="G142" s="75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</row>
    <row r="143" spans="6:27">
      <c r="F143" s="75"/>
      <c r="G143" s="75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</row>
    <row r="144" spans="6:27">
      <c r="F144" s="75"/>
      <c r="G144" s="75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</row>
    <row r="145" spans="6:27">
      <c r="F145" s="75"/>
      <c r="G145" s="75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</row>
    <row r="146" spans="6:27">
      <c r="F146" s="75"/>
      <c r="G146" s="75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</row>
    <row r="147" spans="6:27">
      <c r="F147" s="75"/>
      <c r="G147" s="75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</row>
    <row r="148" spans="6:27">
      <c r="F148" s="75"/>
      <c r="G148" s="75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</row>
    <row r="149" spans="6:27">
      <c r="F149" s="75"/>
      <c r="G149" s="75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</row>
    <row r="150" spans="6:27">
      <c r="F150" s="75"/>
      <c r="G150" s="75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</row>
    <row r="151" spans="6:27">
      <c r="F151" s="75"/>
      <c r="G151" s="75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</row>
    <row r="152" spans="6:27">
      <c r="F152" s="75"/>
      <c r="G152" s="75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</row>
    <row r="153" spans="6:27">
      <c r="F153" s="75"/>
      <c r="G153" s="75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</row>
    <row r="154" spans="6:27">
      <c r="F154" s="75"/>
      <c r="G154" s="75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</row>
    <row r="155" spans="6:27">
      <c r="F155" s="75"/>
      <c r="G155" s="75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</row>
    <row r="156" spans="6:27">
      <c r="F156" s="75"/>
      <c r="G156" s="75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</row>
    <row r="157" spans="6:27">
      <c r="F157" s="75"/>
      <c r="G157" s="75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</row>
    <row r="158" spans="6:27">
      <c r="F158" s="75"/>
      <c r="G158" s="75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</row>
    <row r="159" spans="6:27">
      <c r="F159" s="75"/>
      <c r="G159" s="75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</row>
    <row r="160" spans="6:27">
      <c r="F160" s="75"/>
      <c r="G160" s="75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</row>
    <row r="161" spans="6:27">
      <c r="F161" s="75"/>
      <c r="G161" s="75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</row>
    <row r="162" spans="6:27">
      <c r="F162" s="75"/>
      <c r="G162" s="75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</row>
    <row r="163" spans="6:27">
      <c r="F163" s="75"/>
      <c r="G163" s="75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</row>
    <row r="164" spans="6:27">
      <c r="F164" s="75"/>
      <c r="G164" s="75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</row>
    <row r="165" spans="6:27">
      <c r="F165" s="75"/>
      <c r="G165" s="75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</row>
    <row r="166" spans="6:27">
      <c r="F166" s="75"/>
      <c r="G166" s="75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</row>
    <row r="167" spans="6:27">
      <c r="F167" s="75"/>
      <c r="G167" s="75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</row>
    <row r="168" spans="6:27">
      <c r="F168" s="75"/>
      <c r="G168" s="75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</row>
    <row r="169" spans="6:27">
      <c r="F169" s="75"/>
      <c r="G169" s="75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</row>
    <row r="170" spans="6:27">
      <c r="F170" s="75"/>
      <c r="G170" s="75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</row>
  </sheetData>
  <mergeCells count="2">
    <mergeCell ref="B2:C2"/>
    <mergeCell ref="B3:C3"/>
  </mergeCells>
  <conditionalFormatting sqref="D53:N53 Q53:T53 V53:AI53">
    <cfRule type="cellIs" dxfId="1" priority="4" operator="greaterThan">
      <formula>0</formula>
    </cfRule>
  </conditionalFormatting>
  <conditionalFormatting sqref="U53">
    <cfRule type="cellIs" dxfId="0" priority="1" operator="greaterThan">
      <formula>0</formula>
    </cfRule>
  </conditionalFormatting>
  <pageMargins left="0.27" right="0.2" top="0.49" bottom="0.43" header="0.27" footer="0.22"/>
  <pageSetup scale="58" firstPageNumber="7" fitToWidth="2" fitToHeight="0" orientation="landscape" horizontalDpi="1200" verticalDpi="1200" r:id="rId1"/>
  <headerFooter alignWithMargins="0">
    <oddFooter>&amp;L&amp;9&amp;D &amp;T&amp;C&amp;P of &amp;N&amp;R&amp;9&amp;F</oddFooter>
  </headerFooter>
  <colBreaks count="1" manualBreakCount="1">
    <brk id="13" min="1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Instructions</vt:lpstr>
      <vt:lpstr>Sources and Uses</vt:lpstr>
      <vt:lpstr>Development Budget</vt:lpstr>
      <vt:lpstr>Units &amp; Income</vt:lpstr>
      <vt:lpstr>Construction Interest</vt:lpstr>
      <vt:lpstr>Operating Expenses </vt:lpstr>
      <vt:lpstr>Mortgage</vt:lpstr>
      <vt:lpstr>Cash Flow Proforma</vt:lpstr>
      <vt:lpstr>Amortization</vt:lpstr>
      <vt:lpstr>'Cash Flow Proforma'!Print_Area</vt:lpstr>
      <vt:lpstr>'Development Budget'!Print_Area</vt:lpstr>
      <vt:lpstr>'Operating Expenses '!Print_Area</vt:lpstr>
      <vt:lpstr>'Sources and Uses'!Print_Area</vt:lpstr>
      <vt:lpstr>'Units &amp; Income'!Print_Area</vt:lpstr>
    </vt:vector>
  </TitlesOfParts>
  <Company>NYC Housing Development Corp.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Emilio Veras</dc:creator>
  <cp:lastModifiedBy>Sukenik, Emma</cp:lastModifiedBy>
  <cp:lastPrinted>2017-11-16T16:58:24Z</cp:lastPrinted>
  <dcterms:created xsi:type="dcterms:W3CDTF">1998-09-24T19:31:31Z</dcterms:created>
  <dcterms:modified xsi:type="dcterms:W3CDTF">2018-06-22T17:43:44Z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chemaType">
    <vt:lpwstr>DEV Budget</vt:lpwstr>
  </property>
</Properties>
</file>