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3812"/>
  <workbookPr autoCompressPictures="0"/>
  <bookViews>
    <workbookView xWindow="720" yWindow="720" windowWidth="17380" windowHeight="9440" activeTab="3"/>
  </bookViews>
  <sheets>
    <sheet name="Revenue" sheetId="4" r:id="rId1"/>
    <sheet name="Development Budget" sheetId="2" r:id="rId2"/>
    <sheet name="Sources &amp; Uses" sheetId="1" r:id="rId3"/>
    <sheet name="Operating Expenses" sheetId="3" r:id="rId4"/>
    <sheet name="Affordability Analysis" sheetId="5" r:id="rId5"/>
  </sheets>
  <externalReferences>
    <externalReference r:id="rId6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4" l="1"/>
  <c r="G8" i="4"/>
  <c r="E9" i="4"/>
  <c r="G9" i="4"/>
  <c r="E10" i="4"/>
  <c r="G10" i="4"/>
  <c r="E11" i="4"/>
  <c r="G11" i="4"/>
  <c r="G12" i="4"/>
  <c r="G13" i="4"/>
  <c r="G14" i="4"/>
  <c r="G10" i="3"/>
  <c r="G15" i="3"/>
  <c r="G16" i="3"/>
  <c r="G18" i="3"/>
  <c r="G26" i="3"/>
  <c r="G28" i="3"/>
  <c r="G38" i="3"/>
  <c r="G6" i="3"/>
  <c r="G8" i="3"/>
  <c r="G39" i="3"/>
  <c r="G43" i="3"/>
  <c r="G45" i="3"/>
  <c r="G46" i="3"/>
  <c r="H51" i="3"/>
  <c r="H50" i="3"/>
  <c r="H49" i="3"/>
  <c r="H48" i="3"/>
  <c r="A1" i="5"/>
  <c r="A1" i="3"/>
  <c r="A1" i="1"/>
  <c r="D62" i="2"/>
  <c r="D65" i="2"/>
  <c r="D66" i="2"/>
  <c r="D68" i="2"/>
  <c r="D20" i="2"/>
  <c r="D22" i="2"/>
  <c r="D24" i="2"/>
  <c r="D29" i="2"/>
  <c r="D46" i="2"/>
  <c r="D55" i="2"/>
  <c r="D60" i="2"/>
  <c r="D70" i="2"/>
  <c r="E12" i="4"/>
  <c r="E14" i="4"/>
  <c r="F24" i="3"/>
  <c r="F26" i="3"/>
  <c r="F15" i="3"/>
  <c r="F38" i="3"/>
  <c r="F8" i="3"/>
  <c r="F39" i="3"/>
  <c r="F45" i="3"/>
  <c r="F46" i="3"/>
  <c r="H46" i="3"/>
  <c r="D73" i="2"/>
  <c r="D74" i="2"/>
  <c r="D77" i="2"/>
  <c r="D10" i="2"/>
  <c r="D79" i="2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8" i="4"/>
  <c r="J40" i="4"/>
  <c r="B9" i="1"/>
  <c r="B10" i="1"/>
  <c r="B19" i="1"/>
  <c r="B20" i="1"/>
  <c r="B21" i="1"/>
  <c r="B22" i="1"/>
  <c r="B23" i="1"/>
  <c r="B11" i="1"/>
  <c r="B13" i="1"/>
  <c r="A14" i="1"/>
  <c r="B14" i="1"/>
  <c r="B16" i="1"/>
  <c r="B17" i="1"/>
  <c r="A1" i="2"/>
  <c r="E42" i="4"/>
  <c r="E45" i="4"/>
  <c r="E48" i="4"/>
  <c r="E5" i="5"/>
  <c r="F5" i="5"/>
  <c r="F6" i="5"/>
  <c r="E6" i="5"/>
  <c r="D6" i="5"/>
  <c r="D5" i="5"/>
  <c r="G44" i="3"/>
  <c r="H24" i="3"/>
  <c r="G24" i="3"/>
  <c r="G25" i="3"/>
  <c r="H25" i="3"/>
  <c r="J41" i="4"/>
  <c r="I23" i="4"/>
  <c r="I35" i="4"/>
  <c r="I27" i="4"/>
  <c r="I31" i="4"/>
  <c r="H11" i="4"/>
  <c r="I22" i="4"/>
  <c r="I34" i="4"/>
  <c r="I26" i="4"/>
  <c r="I30" i="4"/>
  <c r="H10" i="4"/>
  <c r="I21" i="4"/>
  <c r="I33" i="4"/>
  <c r="I25" i="4"/>
  <c r="I29" i="4"/>
  <c r="H9" i="4"/>
  <c r="I20" i="4"/>
  <c r="I32" i="4"/>
  <c r="I24" i="4"/>
  <c r="I28" i="4"/>
  <c r="H8" i="4"/>
  <c r="D1" i="2"/>
  <c r="F9" i="5"/>
  <c r="E9" i="5"/>
  <c r="D9" i="5"/>
  <c r="D12" i="5"/>
  <c r="D14" i="5"/>
  <c r="E12" i="5"/>
  <c r="E14" i="5"/>
  <c r="F12" i="5"/>
  <c r="F14" i="5"/>
  <c r="D11" i="5"/>
  <c r="D13" i="5"/>
  <c r="E11" i="5"/>
  <c r="E13" i="5"/>
  <c r="F11" i="5"/>
  <c r="F13" i="5"/>
  <c r="C22" i="1"/>
  <c r="C19" i="1"/>
  <c r="C20" i="1"/>
  <c r="C13" i="1"/>
  <c r="C15" i="1"/>
  <c r="C8" i="1"/>
  <c r="C7" i="1"/>
  <c r="C6" i="1"/>
  <c r="G20" i="3"/>
  <c r="H45" i="3"/>
  <c r="H44" i="3"/>
  <c r="H43" i="3"/>
  <c r="F40" i="3"/>
  <c r="F41" i="3"/>
  <c r="H41" i="3"/>
  <c r="H40" i="3"/>
  <c r="H10" i="3"/>
  <c r="H11" i="3"/>
  <c r="H12" i="3"/>
  <c r="H13" i="3"/>
  <c r="H14" i="3"/>
  <c r="H15" i="3"/>
  <c r="H16" i="3"/>
  <c r="H28" i="3"/>
  <c r="H29" i="3"/>
  <c r="H30" i="3"/>
  <c r="H31" i="3"/>
  <c r="H32" i="3"/>
  <c r="H33" i="3"/>
  <c r="H34" i="3"/>
  <c r="H35" i="3"/>
  <c r="H36" i="3"/>
  <c r="H37" i="3"/>
  <c r="H38" i="3"/>
  <c r="H6" i="3"/>
  <c r="H7" i="3"/>
  <c r="H8" i="3"/>
  <c r="H18" i="3"/>
  <c r="H19" i="3"/>
  <c r="H20" i="3"/>
  <c r="H21" i="3"/>
  <c r="H23" i="3"/>
  <c r="H22" i="3"/>
  <c r="H26" i="3"/>
  <c r="H39" i="3"/>
  <c r="G29" i="3"/>
  <c r="G30" i="3"/>
  <c r="G31" i="3"/>
  <c r="G32" i="3"/>
  <c r="G33" i="3"/>
  <c r="G34" i="3"/>
  <c r="G35" i="3"/>
  <c r="G36" i="3"/>
  <c r="G37" i="3"/>
  <c r="G11" i="3"/>
  <c r="G12" i="3"/>
  <c r="G13" i="3"/>
  <c r="G14" i="3"/>
  <c r="G19" i="3"/>
  <c r="G21" i="3"/>
  <c r="G22" i="3"/>
  <c r="G23" i="3"/>
  <c r="G7" i="3"/>
  <c r="C22" i="2"/>
  <c r="C21" i="2"/>
  <c r="C20" i="2"/>
  <c r="C19" i="2"/>
  <c r="C18" i="2"/>
  <c r="B15" i="2"/>
  <c r="B13" i="2"/>
  <c r="B10" i="2"/>
  <c r="H14" i="4"/>
  <c r="B34" i="4"/>
  <c r="B33" i="4"/>
  <c r="B32" i="4"/>
  <c r="B31" i="4"/>
  <c r="B35" i="4"/>
  <c r="D69" i="4"/>
  <c r="E69" i="4"/>
  <c r="E70" i="4"/>
  <c r="E71" i="4"/>
  <c r="G65" i="4"/>
  <c r="F65" i="4"/>
  <c r="G64" i="4"/>
  <c r="F64" i="4"/>
  <c r="E64" i="4"/>
  <c r="D64" i="4"/>
  <c r="C64" i="4"/>
  <c r="H56" i="4"/>
  <c r="H57" i="4"/>
  <c r="H58" i="4"/>
  <c r="E58" i="4"/>
  <c r="B30" i="4"/>
  <c r="B29" i="4"/>
  <c r="B28" i="4"/>
  <c r="B27" i="4"/>
  <c r="B26" i="4"/>
  <c r="B25" i="4"/>
  <c r="B24" i="4"/>
  <c r="B23" i="4"/>
  <c r="B22" i="4"/>
  <c r="B21" i="4"/>
  <c r="B20" i="4"/>
  <c r="Q1" i="4"/>
  <c r="G40" i="3"/>
  <c r="G41" i="3"/>
  <c r="G24" i="2"/>
  <c r="G54" i="2"/>
  <c r="G59" i="2"/>
  <c r="G76" i="2"/>
  <c r="G79" i="2"/>
  <c r="G10" i="2"/>
  <c r="G78" i="2"/>
  <c r="F75" i="2"/>
  <c r="F74" i="2"/>
  <c r="F72" i="2"/>
  <c r="G67" i="2"/>
  <c r="G69" i="2"/>
  <c r="F58" i="2"/>
  <c r="F56" i="2"/>
  <c r="F53" i="2"/>
  <c r="F52" i="2"/>
  <c r="F51" i="2"/>
  <c r="F50" i="2"/>
  <c r="C51" i="2"/>
  <c r="B51" i="2"/>
  <c r="K49" i="2"/>
  <c r="F49" i="2"/>
  <c r="B50" i="2"/>
  <c r="F48" i="2"/>
  <c r="F47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G29" i="2"/>
  <c r="F29" i="2"/>
  <c r="C26" i="2"/>
  <c r="C25" i="2"/>
  <c r="K23" i="2"/>
  <c r="F22" i="2"/>
  <c r="F21" i="2"/>
  <c r="F20" i="2"/>
  <c r="F19" i="2"/>
  <c r="F18" i="2"/>
  <c r="F15" i="2"/>
  <c r="F13" i="2"/>
  <c r="F12" i="2"/>
  <c r="F9" i="2"/>
  <c r="F8" i="2"/>
  <c r="D19" i="1"/>
  <c r="D23" i="1"/>
  <c r="D22" i="1"/>
  <c r="D20" i="1"/>
  <c r="D15" i="1"/>
  <c r="C10" i="1"/>
  <c r="D6" i="1"/>
  <c r="D7" i="1"/>
  <c r="D8" i="1"/>
  <c r="D9" i="1"/>
  <c r="D10" i="1"/>
  <c r="D13" i="1"/>
  <c r="D14" i="1"/>
  <c r="D16" i="1"/>
  <c r="D21" i="1"/>
  <c r="B14" i="2"/>
  <c r="C9" i="1"/>
  <c r="C14" i="1"/>
  <c r="C16" i="1"/>
  <c r="C21" i="1"/>
  <c r="C23" i="1"/>
</calcChain>
</file>

<file path=xl/sharedStrings.xml><?xml version="1.0" encoding="utf-8"?>
<sst xmlns="http://schemas.openxmlformats.org/spreadsheetml/2006/main" count="354" uniqueCount="242">
  <si>
    <t>SOURCES AND USES</t>
  </si>
  <si>
    <t>Amount</t>
  </si>
  <si>
    <t>Per Unit</t>
  </si>
  <si>
    <t>% of total</t>
  </si>
  <si>
    <t>Construction Sources</t>
  </si>
  <si>
    <t>Owner Equity</t>
  </si>
  <si>
    <t xml:space="preserve">         Total Construction Sources</t>
  </si>
  <si>
    <t>GAP</t>
  </si>
  <si>
    <t xml:space="preserve">         Total Permanent Sources</t>
  </si>
  <si>
    <t>Uses</t>
  </si>
  <si>
    <t>Acquisition Costs</t>
  </si>
  <si>
    <t>Hard Construction Costs</t>
  </si>
  <si>
    <t>Soft Costs</t>
  </si>
  <si>
    <t>Reserves and Escrows</t>
  </si>
  <si>
    <t xml:space="preserve">          Total Uses</t>
  </si>
  <si>
    <t>Units:</t>
  </si>
  <si>
    <t>DEVELOPMENT BUDGET</t>
  </si>
  <si>
    <t>Historic TC Basis</t>
  </si>
  <si>
    <t>Total Development Costs</t>
  </si>
  <si>
    <t>Land</t>
  </si>
  <si>
    <t>Building</t>
  </si>
  <si>
    <t>Total Acquisition Costs:</t>
  </si>
  <si>
    <t>/du</t>
  </si>
  <si>
    <t>Hard Costs</t>
  </si>
  <si>
    <t xml:space="preserve"> </t>
  </si>
  <si>
    <t>Commercial Base Hard Costs</t>
  </si>
  <si>
    <t>psf</t>
  </si>
  <si>
    <t>of TDC</t>
  </si>
  <si>
    <t>Residential Base Hard Costs</t>
  </si>
  <si>
    <t>Contingent Hard Costs</t>
  </si>
  <si>
    <t>HFA Standards:</t>
  </si>
  <si>
    <t>General Conditions</t>
  </si>
  <si>
    <t>Overhead</t>
  </si>
  <si>
    <t>Contractor Profit</t>
  </si>
  <si>
    <t>Bond Premium</t>
  </si>
  <si>
    <t>Contingency</t>
  </si>
  <si>
    <t>Total Hard Costs:</t>
  </si>
  <si>
    <t>Accounting &amp; Cost Certification</t>
  </si>
  <si>
    <t>Appraisal &amp; Market Study</t>
  </si>
  <si>
    <t>Architect / Engineer</t>
  </si>
  <si>
    <t>Building Permits/Expediting</t>
  </si>
  <si>
    <t>Builder's Risk Insurance</t>
  </si>
  <si>
    <t>Energy Consulting / Monitoring</t>
  </si>
  <si>
    <t>Environmental Phase I &amp; II, Abatement</t>
  </si>
  <si>
    <t>Furniture, Fixtures &amp; Equipment</t>
  </si>
  <si>
    <t>Insurance</t>
  </si>
  <si>
    <t>Marketing</t>
  </si>
  <si>
    <t>Real Estate Taxes</t>
  </si>
  <si>
    <t>Water &amp; Sewer Taxes</t>
  </si>
  <si>
    <t>Survey</t>
  </si>
  <si>
    <t>Title &amp; Recording / Transfer Taxes</t>
  </si>
  <si>
    <t>Utilities</t>
  </si>
  <si>
    <t>Controlled Inspections</t>
  </si>
  <si>
    <t>Subtotal Line Item Soft Costs:</t>
  </si>
  <si>
    <t>Construction Lender Fees &amp; Interest</t>
  </si>
  <si>
    <t>Construction Interest: CPC</t>
  </si>
  <si>
    <t>Lender Origination Fee</t>
  </si>
  <si>
    <t>term (yrs):</t>
  </si>
  <si>
    <t>Lender Annual Fee</t>
  </si>
  <si>
    <t>Lender Draw Fees</t>
  </si>
  <si>
    <t>Construction Monitor</t>
  </si>
  <si>
    <t>Plan &amp; Cost Review</t>
  </si>
  <si>
    <t>Subtotal Construction Lender Fees &amp; Interest:</t>
  </si>
  <si>
    <t>Legal Fees and Syndication Costs</t>
  </si>
  <si>
    <t>Borrower Legal</t>
  </si>
  <si>
    <t xml:space="preserve">HFA Legal </t>
  </si>
  <si>
    <t>Lender Legal</t>
  </si>
  <si>
    <t>Subtotal Legal Fees and Syndication Costs:</t>
  </si>
  <si>
    <t>Closing Fees</t>
  </si>
  <si>
    <t>CPC Commitment Fee</t>
  </si>
  <si>
    <t>of Loan Amount</t>
  </si>
  <si>
    <t>Commitment Fee SBPLP</t>
  </si>
  <si>
    <t>Pension Fund Deposit</t>
  </si>
  <si>
    <t>of  Loan Amount</t>
  </si>
  <si>
    <t>SONYMA Application Fee</t>
  </si>
  <si>
    <t>SONYMA MIP (Annual Fee)</t>
  </si>
  <si>
    <t>HFA Application Fee</t>
  </si>
  <si>
    <t>Subtotal HFA Bond Issuance &amp; Closing Fees:</t>
  </si>
  <si>
    <t>Total Soft Costs:</t>
  </si>
  <si>
    <t>Capitalized Operating Reserve</t>
  </si>
  <si>
    <t>Capitalized Replacement Reserve</t>
  </si>
  <si>
    <t>d.u.</t>
  </si>
  <si>
    <t>SONYMA 1 Month Principal &amp; Interest</t>
  </si>
  <si>
    <t>If applicable (see Amortization)</t>
  </si>
  <si>
    <t>Soft Cost Contingency</t>
  </si>
  <si>
    <t>Subtotal Reserves and Escrows:</t>
  </si>
  <si>
    <t>Total Development Cost:</t>
  </si>
  <si>
    <t>Acquisition:</t>
  </si>
  <si>
    <t>Const/Rehab:</t>
  </si>
  <si>
    <t>MAINTENANCE &amp; OPERATING EXPENSES</t>
  </si>
  <si>
    <t>Please add/modify categories as needed:</t>
  </si>
  <si>
    <t>Multiplier</t>
  </si>
  <si>
    <t>Comments:</t>
  </si>
  <si>
    <t>Expense/Room</t>
  </si>
  <si>
    <t>Per Month</t>
  </si>
  <si>
    <t>Fixed Expenses</t>
  </si>
  <si>
    <t>per total project</t>
  </si>
  <si>
    <t>Total Fixed Expenses</t>
  </si>
  <si>
    <t xml:space="preserve">Administrative  </t>
  </si>
  <si>
    <t>Accounting (Professional Fees)</t>
  </si>
  <si>
    <t>Legal (Professional Fees)</t>
  </si>
  <si>
    <t>Marketing/Advertising/Rental Expenses</t>
  </si>
  <si>
    <t>PLP HCR Asset Management Fee</t>
  </si>
  <si>
    <t>Administrative Payroll, Taxes &amp; Benefits</t>
  </si>
  <si>
    <t>Total Administrative</t>
  </si>
  <si>
    <t xml:space="preserve">Total Management Fee </t>
  </si>
  <si>
    <t>percent of EGI</t>
  </si>
  <si>
    <t xml:space="preserve">Electric </t>
  </si>
  <si>
    <t>Heat: Electric</t>
  </si>
  <si>
    <t>Heat: Gas</t>
  </si>
  <si>
    <t>Heat: Oil</t>
  </si>
  <si>
    <t>Gas (cooking)</t>
  </si>
  <si>
    <t>Water/Sewer</t>
  </si>
  <si>
    <t>Other Utility Expenses</t>
  </si>
  <si>
    <t>Cable, internet and Phone: Common Areas</t>
  </si>
  <si>
    <t>Total Utilities</t>
  </si>
  <si>
    <t>Repairs and Maintenance</t>
  </si>
  <si>
    <t>Cleaning &amp; Exterminating Expenses</t>
  </si>
  <si>
    <t>Snow Removal</t>
  </si>
  <si>
    <t>Trash Removal</t>
  </si>
  <si>
    <t>Grounds/Landscaping</t>
  </si>
  <si>
    <t>Maintenance Payroll, Taxes &amp; Benefits</t>
  </si>
  <si>
    <t>Elevator</t>
  </si>
  <si>
    <t>Repairs and Replacement</t>
  </si>
  <si>
    <t>Security</t>
  </si>
  <si>
    <t xml:space="preserve">Painting </t>
  </si>
  <si>
    <t>Contracts</t>
  </si>
  <si>
    <t>Boiler/HVAC Repairs, Fire Alarm System, Repairs and Maintenance made by outside vendors</t>
  </si>
  <si>
    <t>Total Repairs and Maintenance</t>
  </si>
  <si>
    <t>Total Operating Expenses</t>
  </si>
  <si>
    <t>Total Expenses Net of Fixed Expenses (RE Taxes &amp; Insurance)</t>
  </si>
  <si>
    <t>Total Expenses Net of Fixed Expenses and Utilities</t>
  </si>
  <si>
    <t>Reserves</t>
  </si>
  <si>
    <t>Operating Reserves</t>
  </si>
  <si>
    <t>Replacement Reserves</t>
  </si>
  <si>
    <t>Total Reserves</t>
  </si>
  <si>
    <t>Total Operating Expenses and Reserves</t>
  </si>
  <si>
    <t>per unit</t>
  </si>
  <si>
    <t>UNIT DISTRBUTION</t>
  </si>
  <si>
    <t># of Units</t>
  </si>
  <si>
    <t># of Rms/ DU</t>
  </si>
  <si>
    <t># Rooms</t>
  </si>
  <si>
    <t>Avg. NSF/ DU</t>
  </si>
  <si>
    <t>Studio</t>
  </si>
  <si>
    <t>1 Bedroom</t>
  </si>
  <si>
    <t>2 Bedroom</t>
  </si>
  <si>
    <t>3 Bedroom</t>
  </si>
  <si>
    <t>Subtotal</t>
  </si>
  <si>
    <t>Super's Unit</t>
  </si>
  <si>
    <t>Total</t>
  </si>
  <si>
    <t>Unit size</t>
  </si>
  <si>
    <t>Rooms</t>
  </si>
  <si>
    <t>Income Level</t>
  </si>
  <si>
    <t>HUD Subsidy Program</t>
  </si>
  <si>
    <t>Number of Units</t>
  </si>
  <si>
    <t>NSF per unit</t>
  </si>
  <si>
    <t>Total NSF</t>
  </si>
  <si>
    <t>_</t>
  </si>
  <si>
    <t>1BR</t>
  </si>
  <si>
    <t>2BR</t>
  </si>
  <si>
    <t>COMMERICAL AND ANCILLARY INCOME</t>
  </si>
  <si>
    <t># of Spaces</t>
  </si>
  <si>
    <t>Monthly Rent</t>
  </si>
  <si>
    <t>Annual Income</t>
  </si>
  <si>
    <t>Parking</t>
  </si>
  <si>
    <t># units</t>
  </si>
  <si>
    <t>Monthly Revenue</t>
  </si>
  <si>
    <t>Laundry</t>
  </si>
  <si>
    <t>Total Commercial &amp; Ancillary  Income</t>
  </si>
  <si>
    <t>For HFA Loan Servicing use only:</t>
  </si>
  <si>
    <t>Revenue Analysis</t>
  </si>
  <si>
    <t>Less Utility Allowances</t>
  </si>
  <si>
    <t>INCOME</t>
  </si>
  <si>
    <t>Rent Roll May 2017</t>
  </si>
  <si>
    <t>Rent Roll June 2017</t>
  </si>
  <si>
    <t>Rent Roll July 2017</t>
  </si>
  <si>
    <t>Month Two</t>
  </si>
  <si>
    <t>Month Three</t>
  </si>
  <si>
    <t>INITIAL UNDERWRITING</t>
  </si>
  <si>
    <t>RENTAL INCOME</t>
  </si>
  <si>
    <t xml:space="preserve">  </t>
  </si>
  <si>
    <t xml:space="preserve">LAUNDRY </t>
  </si>
  <si>
    <t>OCCUPANCY</t>
  </si>
  <si>
    <t>RENTED</t>
  </si>
  <si>
    <t>VACANT</t>
  </si>
  <si>
    <t>TOTAL</t>
  </si>
  <si>
    <t>VACANCY RATE</t>
  </si>
  <si>
    <t>Net Monthly</t>
  </si>
  <si>
    <t>Net Annual</t>
  </si>
  <si>
    <t xml:space="preserve">One - 2 Bedroom LIHTC Unit </t>
  </si>
  <si>
    <t>1 Bedroom Section 8 rent</t>
  </si>
  <si>
    <t>2 Bedroom Section 8 rent</t>
  </si>
  <si>
    <t>VITAL BROOKLYN HOMEOWNERSHIP INITIATIVE</t>
  </si>
  <si>
    <t>KINGS COUNTY</t>
  </si>
  <si>
    <t>Vital Brooklyn</t>
  </si>
  <si>
    <t>3BR</t>
  </si>
  <si>
    <t>Total Sales Revenue</t>
  </si>
  <si>
    <t>TOTAL SALES REVENUE</t>
  </si>
  <si>
    <t>HCR Program [specify]</t>
  </si>
  <si>
    <t>MARKET</t>
  </si>
  <si>
    <t>Max Unit Sale Price</t>
  </si>
  <si>
    <t>Expense</t>
  </si>
  <si>
    <t>1% of maintenance charges</t>
  </si>
  <si>
    <t>$400 per unit per yr</t>
  </si>
  <si>
    <t xml:space="preserve">Vital Brooklyn Homeownership </t>
  </si>
  <si>
    <t>MINIMUM REQUIRED SUBSIDY</t>
  </si>
  <si>
    <t>MINIMUM REQUIRED SUBSIDY PER UNIT</t>
  </si>
  <si>
    <t>Home Purchases</t>
  </si>
  <si>
    <t>Other Sources</t>
  </si>
  <si>
    <t>Proposed Monthly Maintenance Charge Per Unit</t>
  </si>
  <si>
    <t xml:space="preserve"> 1 BR</t>
  </si>
  <si>
    <t xml:space="preserve"> 2 BR</t>
  </si>
  <si>
    <t xml:space="preserve"> 3 BR</t>
  </si>
  <si>
    <t xml:space="preserve">Affordable/Market Homeownership Analysis </t>
  </si>
  <si>
    <t># Vital Brooklyn Affordable  Homeownership Units</t>
  </si>
  <si>
    <t>Affordable Housing Payment</t>
  </si>
  <si>
    <t xml:space="preserve">% of NYC AMI </t>
  </si>
  <si>
    <t xml:space="preserve">% Kings County AMI </t>
  </si>
  <si>
    <t>Low Income</t>
  </si>
  <si>
    <t>Mod-Low Income</t>
  </si>
  <si>
    <t>Moderate Income</t>
  </si>
  <si>
    <t>Average Target Income</t>
  </si>
  <si>
    <t>Sales Portion of Development Budget (in $$)</t>
  </si>
  <si>
    <t>Sale Price Plus Subsidy (Total/unit budget)</t>
  </si>
  <si>
    <t>3 months O&amp;E</t>
  </si>
  <si>
    <t>Other Fees &amp; Interest</t>
  </si>
  <si>
    <t>Developer Fee</t>
  </si>
  <si>
    <t xml:space="preserve"> First Mortgage</t>
  </si>
  <si>
    <t>of VB Subsidy Amount</t>
  </si>
  <si>
    <t>Community WiFi</t>
  </si>
  <si>
    <t xml:space="preserve">Calculate the amount to be charged for each unit size for maintenance fees on a monthly basis </t>
  </si>
  <si>
    <t>Reference</t>
  </si>
  <si>
    <t>2020 Kings AMI</t>
  </si>
  <si>
    <t>2020 NYC MSA AMI</t>
  </si>
  <si>
    <t>Affordable Mortgage Payment (=Total Housing Payment Less Proposed Maintenance)</t>
  </si>
  <si>
    <t>Affordable Loan Size/Sale Price</t>
  </si>
  <si>
    <t>Subsidy Amount</t>
  </si>
  <si>
    <t>Take-Out Sources</t>
  </si>
  <si>
    <t>Low</t>
  </si>
  <si>
    <t>Low-Mod</t>
  </si>
  <si>
    <t>Mod</t>
  </si>
  <si>
    <t>%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</si>
</sst>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&quot;$&quot;* #,##0_);_(&quot;$&quot;* \(#,##0\);_(&quot;$&quot;* &quot;-&quot;??_);_(@_)"/>
    <numFmt numFmtId="172" formatCode="&quot;$&quot;#,##0"/>
    <numFmt numFmtId="173" formatCode="_(* #,##0_);_(* \(#,##0\);_(* &quot;-&quot;??_);_(@_)"/>
    <numFmt numFmtId="174" formatCode="&quot;$&quot;#,##0.00"/>
    <numFmt numFmtId="175" formatCode="0.0%"/>
    <numFmt numFmtId="176" formatCode="&quot;$&quot;#,##0.0000"/>
    <numFmt numFmtId="177" formatCode="[$-409]mmmm\-yy;@"/>
    <numFmt numFmtId="178" formatCode="0_)"/>
    <numFmt numFmtId="179" formatCode="_(&quot;$&quot;* #,##0.0_);_(&quot;$&quot;* \(#,##0.0\);_(&quot;$&quot;* &quot;-&quot;??_);_(@_)"/>
    <numFmt numFmtId="180" formatCode="_(&quot;$&quot;* #,##0.0_);_(&quot;$&quot;* \(#,##0.0\);_(&quot;$&quot;* &quot;-&quot;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rgb="FFFF0000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u/>
      <sz val="18"/>
      <color indexed="8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i/>
      <u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i/>
      <u/>
      <sz val="12"/>
      <color indexed="8"/>
      <name val="Arial"/>
      <family val="2"/>
    </font>
    <font>
      <u val="singleAccounting"/>
      <sz val="12"/>
      <color indexed="8"/>
      <name val="Arial"/>
      <family val="2"/>
    </font>
    <font>
      <u/>
      <sz val="12"/>
      <color indexed="8"/>
      <name val="Arial"/>
      <family val="2"/>
    </font>
    <font>
      <u val="singleAccounting"/>
      <sz val="12"/>
      <name val="Arial"/>
      <family val="2"/>
    </font>
    <font>
      <i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Helvetica"/>
    </font>
    <font>
      <sz val="12"/>
      <color indexed="12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b/>
      <sz val="18"/>
      <color indexed="8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indexed="12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theme="2"/>
      </right>
      <top style="hair">
        <color theme="2"/>
      </top>
      <bottom style="hair">
        <color theme="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</borders>
  <cellStyleXfs count="17">
    <xf numFmtId="0" fontId="0" fillId="0" borderId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" fillId="0" borderId="0" applyNumberFormat="0" applyFill="0" applyBorder="0" applyAlignment="0">
      <alignment horizontal="left"/>
    </xf>
    <xf numFmtId="3" fontId="35" fillId="0" borderId="0">
      <alignment horizontal="left"/>
    </xf>
    <xf numFmtId="176" fontId="36" fillId="5" borderId="0" applyNumberFormat="0" applyBorder="0" applyAlignment="0">
      <protection locked="0"/>
    </xf>
    <xf numFmtId="3" fontId="23" fillId="0" borderId="25"/>
    <xf numFmtId="3" fontId="37" fillId="0" borderId="0" applyFont="0" applyFill="0" applyBorder="0" applyAlignment="0" applyProtection="0"/>
    <xf numFmtId="176" fontId="36" fillId="6" borderId="26">
      <alignment horizontal="left" vertical="top" wrapText="1"/>
      <protection locked="0"/>
    </xf>
    <xf numFmtId="176" fontId="36" fillId="7" borderId="27">
      <alignment horizontal="left" vertical="top" wrapText="1"/>
      <protection locked="0"/>
    </xf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170" fontId="11" fillId="0" borderId="0" applyFont="0" applyFill="0" applyBorder="0" applyAlignment="0" applyProtection="0"/>
    <xf numFmtId="169" fontId="11" fillId="0" borderId="0" applyFont="0" applyFill="0" applyBorder="0" applyAlignment="0" applyProtection="0"/>
  </cellStyleXfs>
  <cellXfs count="514">
    <xf numFmtId="0" fontId="0" fillId="0" borderId="0" xfId="0"/>
    <xf numFmtId="0" fontId="3" fillId="0" borderId="1" xfId="0" applyFont="1" applyBorder="1"/>
    <xf numFmtId="0" fontId="4" fillId="0" borderId="0" xfId="0" applyFont="1"/>
    <xf numFmtId="0" fontId="4" fillId="0" borderId="2" xfId="0" applyFont="1" applyBorder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0" fontId="8" fillId="0" borderId="2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11" fillId="0" borderId="0" xfId="0" applyFont="1" applyAlignment="1" applyProtection="1">
      <alignment horizontal="right"/>
      <protection locked="0"/>
    </xf>
    <xf numFmtId="10" fontId="12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 indent="1"/>
    </xf>
    <xf numFmtId="171" fontId="10" fillId="0" borderId="0" xfId="2" applyNumberFormat="1" applyFont="1"/>
    <xf numFmtId="164" fontId="11" fillId="0" borderId="0" xfId="0" applyNumberFormat="1" applyFont="1" applyProtection="1">
      <protection locked="0"/>
    </xf>
    <xf numFmtId="10" fontId="12" fillId="0" borderId="2" xfId="0" applyNumberFormat="1" applyFont="1" applyBorder="1"/>
    <xf numFmtId="0" fontId="13" fillId="0" borderId="3" xfId="0" applyFont="1" applyBorder="1" applyAlignment="1">
      <alignment horizontal="left"/>
    </xf>
    <xf numFmtId="171" fontId="4" fillId="0" borderId="4" xfId="2" applyNumberFormat="1" applyFont="1" applyBorder="1"/>
    <xf numFmtId="164" fontId="7" fillId="0" borderId="4" xfId="0" applyNumberFormat="1" applyFont="1" applyBorder="1" applyProtection="1">
      <protection locked="0"/>
    </xf>
    <xf numFmtId="10" fontId="8" fillId="0" borderId="5" xfId="0" applyNumberFormat="1" applyFont="1" applyBorder="1"/>
    <xf numFmtId="0" fontId="14" fillId="0" borderId="6" xfId="0" applyFont="1" applyBorder="1" applyAlignment="1">
      <alignment horizontal="right"/>
    </xf>
    <xf numFmtId="164" fontId="14" fillId="0" borderId="0" xfId="0" applyNumberFormat="1" applyFont="1"/>
    <xf numFmtId="10" fontId="15" fillId="0" borderId="2" xfId="0" applyNumberFormat="1" applyFont="1" applyBorder="1" applyAlignment="1">
      <alignment horizontal="center"/>
    </xf>
    <xf numFmtId="10" fontId="15" fillId="0" borderId="2" xfId="0" applyNumberFormat="1" applyFont="1" applyBorder="1"/>
    <xf numFmtId="171" fontId="10" fillId="2" borderId="0" xfId="2" applyNumberFormat="1" applyFont="1" applyFill="1"/>
    <xf numFmtId="0" fontId="13" fillId="0" borderId="3" xfId="0" applyFont="1" applyBorder="1"/>
    <xf numFmtId="0" fontId="14" fillId="0" borderId="1" xfId="0" applyFont="1" applyBorder="1" applyAlignment="1">
      <alignment horizontal="right"/>
    </xf>
    <xf numFmtId="171" fontId="14" fillId="0" borderId="0" xfId="0" applyNumberFormat="1" applyFont="1"/>
    <xf numFmtId="37" fontId="10" fillId="0" borderId="0" xfId="0" applyNumberFormat="1" applyFont="1"/>
    <xf numFmtId="171" fontId="10" fillId="0" borderId="0" xfId="2" applyNumberFormat="1" applyFont="1" applyAlignment="1">
      <alignment horizontal="right"/>
    </xf>
    <xf numFmtId="10" fontId="10" fillId="0" borderId="1" xfId="0" applyNumberFormat="1" applyFont="1" applyBorder="1" applyAlignment="1">
      <alignment horizontal="left" indent="1"/>
    </xf>
    <xf numFmtId="0" fontId="13" fillId="0" borderId="7" xfId="0" applyFont="1" applyBorder="1"/>
    <xf numFmtId="171" fontId="4" fillId="0" borderId="8" xfId="2" applyNumberFormat="1" applyFont="1" applyBorder="1"/>
    <xf numFmtId="164" fontId="7" fillId="0" borderId="8" xfId="0" applyNumberFormat="1" applyFont="1" applyBorder="1" applyProtection="1">
      <protection locked="0"/>
    </xf>
    <xf numFmtId="10" fontId="8" fillId="0" borderId="9" xfId="0" applyNumberFormat="1" applyFont="1" applyBorder="1"/>
    <xf numFmtId="0" fontId="17" fillId="3" borderId="10" xfId="0" applyFont="1" applyFill="1" applyBorder="1" applyAlignment="1">
      <alignment vertical="center"/>
    </xf>
    <xf numFmtId="0" fontId="5" fillId="3" borderId="0" xfId="0" applyFont="1" applyFill="1"/>
    <xf numFmtId="0" fontId="18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172" fontId="5" fillId="3" borderId="0" xfId="0" applyNumberFormat="1" applyFont="1" applyFill="1"/>
    <xf numFmtId="0" fontId="19" fillId="3" borderId="0" xfId="0" applyFont="1" applyFill="1"/>
    <xf numFmtId="0" fontId="5" fillId="0" borderId="0" xfId="0" applyFont="1"/>
    <xf numFmtId="0" fontId="10" fillId="3" borderId="0" xfId="0" applyFont="1" applyFill="1"/>
    <xf numFmtId="0" fontId="8" fillId="3" borderId="0" xfId="0" applyFont="1" applyFill="1" applyAlignment="1">
      <alignment horizontal="left"/>
    </xf>
    <xf numFmtId="0" fontId="9" fillId="3" borderId="0" xfId="0" applyFont="1" applyFill="1"/>
    <xf numFmtId="172" fontId="20" fillId="3" borderId="0" xfId="0" applyNumberFormat="1" applyFont="1" applyFill="1" applyAlignment="1">
      <alignment horizontal="centerContinuous"/>
    </xf>
    <xf numFmtId="172" fontId="10" fillId="3" borderId="0" xfId="0" applyNumberFormat="1" applyFont="1" applyFill="1" applyAlignment="1">
      <alignment horizontal="centerContinuous"/>
    </xf>
    <xf numFmtId="37" fontId="5" fillId="3" borderId="0" xfId="0" applyNumberFormat="1" applyFont="1" applyFill="1"/>
    <xf numFmtId="0" fontId="10" fillId="3" borderId="2" xfId="0" applyFont="1" applyFill="1" applyBorder="1"/>
    <xf numFmtId="172" fontId="13" fillId="3" borderId="0" xfId="0" applyNumberFormat="1" applyFont="1" applyFill="1" applyAlignment="1">
      <alignment horizontal="center"/>
    </xf>
    <xf numFmtId="172" fontId="13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8" fontId="4" fillId="3" borderId="0" xfId="0" applyNumberFormat="1" applyFont="1" applyFill="1"/>
    <xf numFmtId="0" fontId="10" fillId="0" borderId="1" xfId="0" applyFont="1" applyBorder="1"/>
    <xf numFmtId="0" fontId="9" fillId="0" borderId="0" xfId="0" applyFont="1"/>
    <xf numFmtId="168" fontId="10" fillId="3" borderId="0" xfId="0" applyNumberFormat="1" applyFont="1" applyFill="1"/>
    <xf numFmtId="9" fontId="12" fillId="0" borderId="1" xfId="0" applyNumberFormat="1" applyFont="1" applyBorder="1"/>
    <xf numFmtId="0" fontId="19" fillId="0" borderId="2" xfId="0" applyFont="1" applyBorder="1"/>
    <xf numFmtId="168" fontId="12" fillId="2" borderId="12" xfId="0" applyNumberFormat="1" applyFont="1" applyFill="1" applyBorder="1"/>
    <xf numFmtId="171" fontId="5" fillId="0" borderId="0" xfId="0" applyNumberFormat="1" applyFont="1"/>
    <xf numFmtId="173" fontId="5" fillId="0" borderId="0" xfId="0" applyNumberFormat="1" applyFont="1"/>
    <xf numFmtId="0" fontId="13" fillId="0" borderId="7" xfId="0" applyFont="1" applyBorder="1" applyAlignment="1">
      <alignment horizontal="right"/>
    </xf>
    <xf numFmtId="0" fontId="12" fillId="0" borderId="8" xfId="0" applyFont="1" applyBorder="1"/>
    <xf numFmtId="171" fontId="4" fillId="0" borderId="13" xfId="2" applyNumberFormat="1" applyFont="1" applyBorder="1"/>
    <xf numFmtId="171" fontId="4" fillId="3" borderId="0" xfId="2" applyNumberFormat="1" applyFont="1" applyFill="1"/>
    <xf numFmtId="9" fontId="22" fillId="0" borderId="7" xfId="0" applyNumberFormat="1" applyFont="1" applyBorder="1"/>
    <xf numFmtId="171" fontId="8" fillId="0" borderId="13" xfId="2" applyNumberFormat="1" applyFont="1" applyBorder="1"/>
    <xf numFmtId="0" fontId="5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19" fillId="0" borderId="1" xfId="2" applyNumberFormat="1" applyFont="1" applyBorder="1"/>
    <xf numFmtId="0" fontId="12" fillId="0" borderId="0" xfId="0" applyFont="1"/>
    <xf numFmtId="171" fontId="12" fillId="2" borderId="0" xfId="2" applyNumberFormat="1" applyFont="1" applyFill="1"/>
    <xf numFmtId="9" fontId="19" fillId="0" borderId="1" xfId="3" applyFont="1" applyBorder="1" applyAlignment="1">
      <alignment horizontal="right"/>
    </xf>
    <xf numFmtId="168" fontId="5" fillId="3" borderId="0" xfId="0" applyNumberFormat="1" applyFont="1" applyFill="1"/>
    <xf numFmtId="9" fontId="23" fillId="0" borderId="1" xfId="0" applyNumberFormat="1" applyFont="1" applyBorder="1"/>
    <xf numFmtId="169" fontId="5" fillId="0" borderId="0" xfId="2" applyFont="1"/>
    <xf numFmtId="171" fontId="10" fillId="0" borderId="0" xfId="0" applyNumberFormat="1" applyFont="1"/>
    <xf numFmtId="171" fontId="5" fillId="0" borderId="2" xfId="2" applyNumberFormat="1" applyFont="1" applyBorder="1"/>
    <xf numFmtId="168" fontId="5" fillId="0" borderId="1" xfId="0" applyNumberFormat="1" applyFont="1" applyBorder="1"/>
    <xf numFmtId="0" fontId="12" fillId="0" borderId="2" xfId="0" applyFont="1" applyBorder="1"/>
    <xf numFmtId="0" fontId="24" fillId="0" borderId="1" xfId="0" applyFont="1" applyBorder="1" applyAlignment="1">
      <alignment horizontal="left"/>
    </xf>
    <xf numFmtId="168" fontId="19" fillId="0" borderId="1" xfId="0" applyNumberFormat="1" applyFont="1" applyBorder="1" applyAlignment="1">
      <alignment horizontal="left"/>
    </xf>
    <xf numFmtId="168" fontId="19" fillId="0" borderId="2" xfId="0" applyNumberFormat="1" applyFont="1" applyBorder="1" applyAlignment="1">
      <alignment horizontal="right"/>
    </xf>
    <xf numFmtId="9" fontId="19" fillId="0" borderId="1" xfId="0" applyNumberFormat="1" applyFont="1" applyBorder="1" applyAlignment="1">
      <alignment horizontal="right"/>
    </xf>
    <xf numFmtId="0" fontId="12" fillId="0" borderId="1" xfId="0" applyFont="1" applyBorder="1"/>
    <xf numFmtId="171" fontId="5" fillId="0" borderId="0" xfId="2" applyNumberFormat="1" applyFont="1"/>
    <xf numFmtId="168" fontId="19" fillId="0" borderId="1" xfId="0" applyNumberFormat="1" applyFont="1" applyBorder="1" applyAlignment="1">
      <alignment horizontal="right"/>
    </xf>
    <xf numFmtId="0" fontId="12" fillId="2" borderId="12" xfId="0" applyFont="1" applyFill="1" applyBorder="1"/>
    <xf numFmtId="9" fontId="5" fillId="0" borderId="1" xfId="3" applyFont="1" applyBorder="1"/>
    <xf numFmtId="10" fontId="10" fillId="0" borderId="0" xfId="0" applyNumberFormat="1" applyFont="1"/>
    <xf numFmtId="168" fontId="25" fillId="3" borderId="14" xfId="0" applyNumberFormat="1" applyFont="1" applyFill="1" applyBorder="1"/>
    <xf numFmtId="166" fontId="10" fillId="0" borderId="15" xfId="0" applyNumberFormat="1" applyFont="1" applyBorder="1"/>
    <xf numFmtId="0" fontId="13" fillId="0" borderId="16" xfId="0" applyFont="1" applyBorder="1" applyAlignment="1">
      <alignment horizontal="right"/>
    </xf>
    <xf numFmtId="164" fontId="5" fillId="0" borderId="0" xfId="0" applyNumberFormat="1" applyFont="1"/>
    <xf numFmtId="0" fontId="13" fillId="0" borderId="1" xfId="0" applyFont="1" applyBorder="1" applyAlignment="1">
      <alignment horizontal="right"/>
    </xf>
    <xf numFmtId="164" fontId="12" fillId="0" borderId="1" xfId="0" applyNumberFormat="1" applyFont="1" applyBorder="1"/>
    <xf numFmtId="166" fontId="12" fillId="0" borderId="2" xfId="0" applyNumberFormat="1" applyFont="1" applyBorder="1"/>
    <xf numFmtId="166" fontId="12" fillId="3" borderId="0" xfId="0" applyNumberFormat="1" applyFont="1" applyFill="1"/>
    <xf numFmtId="164" fontId="12" fillId="0" borderId="2" xfId="0" applyNumberFormat="1" applyFont="1" applyBorder="1"/>
    <xf numFmtId="164" fontId="12" fillId="0" borderId="7" xfId="0" applyNumberFormat="1" applyFont="1" applyBorder="1"/>
    <xf numFmtId="164" fontId="12" fillId="0" borderId="9" xfId="0" applyNumberFormat="1" applyFont="1" applyBorder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5" fillId="0" borderId="7" xfId="0" applyFont="1" applyBorder="1"/>
    <xf numFmtId="164" fontId="12" fillId="0" borderId="9" xfId="0" applyNumberFormat="1" applyFont="1" applyBorder="1"/>
    <xf numFmtId="0" fontId="26" fillId="0" borderId="1" xfId="0" applyFont="1" applyBorder="1"/>
    <xf numFmtId="0" fontId="26" fillId="0" borderId="0" xfId="0" applyFont="1"/>
    <xf numFmtId="173" fontId="26" fillId="0" borderId="0" xfId="1" applyNumberFormat="1" applyFont="1"/>
    <xf numFmtId="0" fontId="12" fillId="0" borderId="17" xfId="0" applyFont="1" applyBorder="1"/>
    <xf numFmtId="168" fontId="19" fillId="2" borderId="12" xfId="0" applyNumberFormat="1" applyFont="1" applyFill="1" applyBorder="1"/>
    <xf numFmtId="3" fontId="10" fillId="0" borderId="0" xfId="0" applyNumberFormat="1" applyFont="1"/>
    <xf numFmtId="9" fontId="10" fillId="0" borderId="0" xfId="0" applyNumberFormat="1" applyFont="1"/>
    <xf numFmtId="10" fontId="10" fillId="0" borderId="1" xfId="3" applyNumberFormat="1" applyFont="1" applyBorder="1"/>
    <xf numFmtId="164" fontId="10" fillId="0" borderId="0" xfId="0" applyNumberFormat="1" applyFont="1"/>
    <xf numFmtId="10" fontId="10" fillId="0" borderId="1" xfId="0" applyNumberFormat="1" applyFont="1" applyBorder="1"/>
    <xf numFmtId="10" fontId="10" fillId="0" borderId="0" xfId="3" applyNumberFormat="1" applyFont="1"/>
    <xf numFmtId="168" fontId="27" fillId="3" borderId="0" xfId="0" applyNumberFormat="1" applyFont="1" applyFill="1"/>
    <xf numFmtId="168" fontId="28" fillId="2" borderId="18" xfId="0" applyNumberFormat="1" applyFont="1" applyFill="1" applyBorder="1"/>
    <xf numFmtId="0" fontId="10" fillId="0" borderId="1" xfId="0" applyFont="1" applyBorder="1" applyAlignment="1">
      <alignment horizontal="left" vertical="top"/>
    </xf>
    <xf numFmtId="10" fontId="10" fillId="0" borderId="1" xfId="0" applyNumberFormat="1" applyFont="1" applyBorder="1" applyAlignment="1">
      <alignment horizontal="left" vertical="top" wrapText="1"/>
    </xf>
    <xf numFmtId="10" fontId="10" fillId="0" borderId="0" xfId="3" applyNumberFormat="1" applyFont="1" applyAlignment="1">
      <alignment horizontal="left" vertical="top"/>
    </xf>
    <xf numFmtId="168" fontId="27" fillId="3" borderId="0" xfId="0" applyNumberFormat="1" applyFont="1" applyFill="1" applyAlignment="1">
      <alignment horizontal="left" vertical="top"/>
    </xf>
    <xf numFmtId="9" fontId="12" fillId="0" borderId="1" xfId="0" applyNumberFormat="1" applyFont="1" applyBorder="1" applyAlignment="1">
      <alignment horizontal="left" vertical="top"/>
    </xf>
    <xf numFmtId="168" fontId="28" fillId="2" borderId="2" xfId="0" applyNumberFormat="1" applyFont="1" applyFill="1" applyBorder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7" xfId="0" applyFont="1" applyBorder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172" fontId="8" fillId="0" borderId="9" xfId="0" applyNumberFormat="1" applyFont="1" applyBorder="1"/>
    <xf numFmtId="172" fontId="8" fillId="3" borderId="0" xfId="0" applyNumberFormat="1" applyFont="1" applyFill="1"/>
    <xf numFmtId="0" fontId="10" fillId="0" borderId="7" xfId="0" applyFont="1" applyBorder="1"/>
    <xf numFmtId="168" fontId="26" fillId="3" borderId="0" xfId="0" applyNumberFormat="1" applyFont="1" applyFill="1"/>
    <xf numFmtId="3" fontId="5" fillId="3" borderId="0" xfId="0" applyNumberFormat="1" applyFont="1" applyFill="1"/>
    <xf numFmtId="3" fontId="19" fillId="2" borderId="12" xfId="0" applyNumberFormat="1" applyFont="1" applyFill="1" applyBorder="1"/>
    <xf numFmtId="175" fontId="10" fillId="0" borderId="0" xfId="0" applyNumberFormat="1" applyFont="1"/>
    <xf numFmtId="10" fontId="12" fillId="0" borderId="19" xfId="0" applyNumberFormat="1" applyFont="1" applyBorder="1"/>
    <xf numFmtId="0" fontId="19" fillId="0" borderId="0" xfId="0" applyFont="1" applyAlignment="1">
      <alignment horizontal="center"/>
    </xf>
    <xf numFmtId="171" fontId="23" fillId="2" borderId="0" xfId="2" applyNumberFormat="1" applyFont="1" applyFill="1" applyAlignment="1">
      <alignment horizontal="center"/>
    </xf>
    <xf numFmtId="10" fontId="12" fillId="0" borderId="20" xfId="0" applyNumberFormat="1" applyFont="1" applyBorder="1"/>
    <xf numFmtId="2" fontId="14" fillId="0" borderId="0" xfId="0" applyNumberFormat="1" applyFont="1" applyAlignment="1">
      <alignment horizontal="center"/>
    </xf>
    <xf numFmtId="171" fontId="22" fillId="2" borderId="0" xfId="2" applyNumberFormat="1" applyFont="1" applyFill="1" applyAlignment="1">
      <alignment horizontal="center"/>
    </xf>
    <xf numFmtId="3" fontId="10" fillId="3" borderId="0" xfId="0" applyNumberFormat="1" applyFont="1" applyFill="1"/>
    <xf numFmtId="3" fontId="12" fillId="2" borderId="12" xfId="0" applyNumberFormat="1" applyFont="1" applyFill="1" applyBorder="1"/>
    <xf numFmtId="175" fontId="10" fillId="0" borderId="1" xfId="3" applyNumberFormat="1" applyFont="1" applyBorder="1"/>
    <xf numFmtId="3" fontId="27" fillId="3" borderId="0" xfId="0" applyNumberFormat="1" applyFont="1" applyFill="1"/>
    <xf numFmtId="3" fontId="28" fillId="2" borderId="12" xfId="0" applyNumberFormat="1" applyFont="1" applyFill="1" applyBorder="1"/>
    <xf numFmtId="0" fontId="17" fillId="0" borderId="7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171" fontId="29" fillId="0" borderId="9" xfId="2" applyNumberFormat="1" applyFont="1" applyBorder="1" applyAlignment="1">
      <alignment horizontal="right"/>
    </xf>
    <xf numFmtId="164" fontId="29" fillId="3" borderId="0" xfId="0" applyNumberFormat="1" applyFont="1" applyFill="1" applyAlignment="1">
      <alignment horizontal="right"/>
    </xf>
    <xf numFmtId="164" fontId="17" fillId="0" borderId="7" xfId="0" applyNumberFormat="1" applyFont="1" applyBorder="1" applyAlignment="1">
      <alignment horizontal="right"/>
    </xf>
    <xf numFmtId="164" fontId="29" fillId="0" borderId="9" xfId="0" applyNumberFormat="1" applyFont="1" applyBorder="1" applyAlignment="1">
      <alignment horizontal="right"/>
    </xf>
    <xf numFmtId="164" fontId="17" fillId="3" borderId="0" xfId="0" applyNumberFormat="1" applyFont="1" applyFill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164" fontId="19" fillId="2" borderId="12" xfId="0" applyNumberFormat="1" applyFont="1" applyFill="1" applyBorder="1" applyAlignment="1">
      <alignment horizontal="right"/>
    </xf>
    <xf numFmtId="173" fontId="29" fillId="0" borderId="9" xfId="0" applyNumberFormat="1" applyFont="1" applyBorder="1" applyAlignment="1">
      <alignment horizontal="right"/>
    </xf>
    <xf numFmtId="10" fontId="12" fillId="0" borderId="1" xfId="0" applyNumberFormat="1" applyFont="1" applyBorder="1"/>
    <xf numFmtId="166" fontId="10" fillId="2" borderId="0" xfId="2" applyNumberFormat="1" applyFont="1" applyFill="1"/>
    <xf numFmtId="0" fontId="10" fillId="0" borderId="0" xfId="0" applyFont="1" applyAlignment="1">
      <alignment horizontal="right"/>
    </xf>
    <xf numFmtId="37" fontId="10" fillId="0" borderId="0" xfId="0" applyNumberFormat="1" applyFont="1" applyAlignment="1">
      <alignment horizontal="right"/>
    </xf>
    <xf numFmtId="164" fontId="15" fillId="0" borderId="1" xfId="0" applyNumberFormat="1" applyFont="1" applyBorder="1"/>
    <xf numFmtId="166" fontId="10" fillId="0" borderId="0" xfId="0" applyNumberFormat="1" applyFont="1"/>
    <xf numFmtId="168" fontId="5" fillId="3" borderId="0" xfId="0" applyNumberFormat="1" applyFont="1" applyFill="1" applyAlignment="1">
      <alignment horizontal="right"/>
    </xf>
    <xf numFmtId="164" fontId="29" fillId="0" borderId="2" xfId="0" applyNumberFormat="1" applyFont="1" applyBorder="1" applyAlignment="1">
      <alignment horizontal="right"/>
    </xf>
    <xf numFmtId="168" fontId="10" fillId="3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right"/>
    </xf>
    <xf numFmtId="171" fontId="8" fillId="0" borderId="2" xfId="2" applyNumberFormat="1" applyFont="1" applyBorder="1" applyAlignment="1">
      <alignment horizontal="right"/>
    </xf>
    <xf numFmtId="164" fontId="8" fillId="3" borderId="0" xfId="2" applyNumberFormat="1" applyFont="1" applyFill="1" applyAlignment="1">
      <alignment horizontal="right"/>
    </xf>
    <xf numFmtId="164" fontId="8" fillId="0" borderId="2" xfId="2" applyNumberFormat="1" applyFont="1" applyBorder="1" applyAlignment="1">
      <alignment horizontal="right"/>
    </xf>
    <xf numFmtId="168" fontId="5" fillId="0" borderId="0" xfId="0" applyNumberFormat="1" applyFont="1"/>
    <xf numFmtId="168" fontId="8" fillId="3" borderId="0" xfId="0" applyNumberFormat="1" applyFont="1" applyFill="1" applyAlignment="1">
      <alignment horizontal="right"/>
    </xf>
    <xf numFmtId="0" fontId="10" fillId="0" borderId="8" xfId="0" applyFont="1" applyBorder="1"/>
    <xf numFmtId="171" fontId="4" fillId="0" borderId="9" xfId="0" applyNumberFormat="1" applyFont="1" applyBorder="1"/>
    <xf numFmtId="171" fontId="4" fillId="0" borderId="0" xfId="0" applyNumberFormat="1" applyFont="1"/>
    <xf numFmtId="171" fontId="4" fillId="3" borderId="0" xfId="0" applyNumberFormat="1" applyFont="1" applyFill="1"/>
    <xf numFmtId="164" fontId="15" fillId="0" borderId="0" xfId="0" applyNumberFormat="1" applyFont="1"/>
    <xf numFmtId="171" fontId="8" fillId="0" borderId="0" xfId="0" applyNumberFormat="1" applyFont="1"/>
    <xf numFmtId="9" fontId="10" fillId="0" borderId="0" xfId="3" applyFont="1"/>
    <xf numFmtId="168" fontId="10" fillId="0" borderId="1" xfId="0" applyNumberFormat="1" applyFont="1" applyBorder="1"/>
    <xf numFmtId="164" fontId="10" fillId="0" borderId="0" xfId="0" quotePrefix="1" applyNumberFormat="1" applyFont="1"/>
    <xf numFmtId="171" fontId="10" fillId="2" borderId="0" xfId="2" quotePrefix="1" applyNumberFormat="1" applyFont="1" applyFill="1"/>
    <xf numFmtId="173" fontId="12" fillId="2" borderId="21" xfId="1" applyNumberFormat="1" applyFont="1" applyFill="1" applyBorder="1"/>
    <xf numFmtId="165" fontId="10" fillId="0" borderId="1" xfId="0" applyNumberFormat="1" applyFont="1" applyBorder="1"/>
    <xf numFmtId="171" fontId="10" fillId="0" borderId="0" xfId="2" quotePrefix="1" applyNumberFormat="1" applyFont="1"/>
    <xf numFmtId="3" fontId="5" fillId="3" borderId="0" xfId="0" applyNumberFormat="1" applyFont="1" applyFill="1" applyAlignment="1">
      <alignment horizontal="right"/>
    </xf>
    <xf numFmtId="173" fontId="12" fillId="0" borderId="21" xfId="1" applyNumberFormat="1" applyFont="1" applyBorder="1"/>
    <xf numFmtId="168" fontId="11" fillId="3" borderId="0" xfId="0" applyNumberFormat="1" applyFont="1" applyFill="1" applyAlignment="1">
      <alignment horizontal="right"/>
    </xf>
    <xf numFmtId="173" fontId="19" fillId="2" borderId="12" xfId="1" applyNumberFormat="1" applyFont="1" applyFill="1" applyBorder="1" applyAlignment="1">
      <alignment horizontal="right"/>
    </xf>
    <xf numFmtId="164" fontId="8" fillId="0" borderId="22" xfId="0" applyNumberFormat="1" applyFont="1" applyBorder="1"/>
    <xf numFmtId="164" fontId="8" fillId="3" borderId="0" xfId="0" applyNumberFormat="1" applyFont="1" applyFill="1"/>
    <xf numFmtId="0" fontId="10" fillId="3" borderId="1" xfId="0" applyFont="1" applyFill="1" applyBorder="1"/>
    <xf numFmtId="164" fontId="15" fillId="3" borderId="0" xfId="0" applyNumberFormat="1" applyFont="1" applyFill="1"/>
    <xf numFmtId="0" fontId="12" fillId="3" borderId="0" xfId="0" applyFont="1" applyFill="1"/>
    <xf numFmtId="0" fontId="10" fillId="0" borderId="3" xfId="0" applyFont="1" applyBorder="1"/>
    <xf numFmtId="0" fontId="13" fillId="0" borderId="3" xfId="0" applyFont="1" applyBorder="1" applyAlignment="1">
      <alignment horizontal="right"/>
    </xf>
    <xf numFmtId="171" fontId="4" fillId="0" borderId="5" xfId="2" applyNumberFormat="1" applyFont="1" applyBorder="1"/>
    <xf numFmtId="164" fontId="12" fillId="3" borderId="2" xfId="0" applyNumberFormat="1" applyFont="1" applyFill="1" applyBorder="1" applyAlignment="1">
      <alignment horizontal="right"/>
    </xf>
    <xf numFmtId="0" fontId="30" fillId="3" borderId="0" xfId="0" applyFont="1" applyFill="1"/>
    <xf numFmtId="0" fontId="31" fillId="3" borderId="0" xfId="0" applyFont="1" applyFill="1"/>
    <xf numFmtId="0" fontId="32" fillId="3" borderId="0" xfId="0" applyFont="1" applyFill="1" applyAlignment="1">
      <alignment horizontal="right"/>
    </xf>
    <xf numFmtId="171" fontId="32" fillId="3" borderId="0" xfId="0" applyNumberFormat="1" applyFont="1" applyFill="1" applyAlignment="1">
      <alignment horizontal="right"/>
    </xf>
    <xf numFmtId="171" fontId="33" fillId="3" borderId="0" xfId="2" applyNumberFormat="1" applyFont="1" applyFill="1"/>
    <xf numFmtId="164" fontId="34" fillId="3" borderId="2" xfId="0" applyNumberFormat="1" applyFont="1" applyFill="1" applyBorder="1" applyAlignment="1">
      <alignment horizontal="right"/>
    </xf>
    <xf numFmtId="171" fontId="32" fillId="0" borderId="13" xfId="2" applyNumberFormat="1" applyFont="1" applyBorder="1"/>
    <xf numFmtId="171" fontId="31" fillId="0" borderId="0" xfId="0" applyNumberFormat="1" applyFont="1"/>
    <xf numFmtId="0" fontId="31" fillId="0" borderId="0" xfId="0" applyFont="1"/>
    <xf numFmtId="0" fontId="30" fillId="0" borderId="0" xfId="0" applyFont="1"/>
    <xf numFmtId="171" fontId="10" fillId="3" borderId="0" xfId="0" applyNumberFormat="1" applyFont="1" applyFill="1"/>
    <xf numFmtId="164" fontId="12" fillId="3" borderId="0" xfId="0" applyNumberFormat="1" applyFont="1" applyFill="1"/>
    <xf numFmtId="173" fontId="5" fillId="0" borderId="0" xfId="1" applyNumberFormat="1" applyFont="1"/>
    <xf numFmtId="172" fontId="5" fillId="0" borderId="0" xfId="0" applyNumberFormat="1" applyFont="1"/>
    <xf numFmtId="0" fontId="19" fillId="0" borderId="0" xfId="0" applyFont="1"/>
    <xf numFmtId="9" fontId="5" fillId="0" borderId="0" xfId="0" applyNumberFormat="1" applyFont="1"/>
    <xf numFmtId="3" fontId="17" fillId="0" borderId="0" xfId="4" applyFont="1" applyAlignment="1">
      <alignment horizontal="left" wrapText="1"/>
    </xf>
    <xf numFmtId="3" fontId="17" fillId="0" borderId="8" xfId="4" applyFont="1" applyBorder="1" applyAlignment="1">
      <alignment horizontal="left" wrapText="1"/>
    </xf>
    <xf numFmtId="3" fontId="17" fillId="0" borderId="0" xfId="4" applyFont="1" applyAlignment="1">
      <alignment horizontal="center" wrapText="1"/>
    </xf>
    <xf numFmtId="3" fontId="17" fillId="0" borderId="0" xfId="4" applyFont="1" applyAlignment="1">
      <alignment horizontal="center" vertical="center" wrapText="1"/>
    </xf>
    <xf numFmtId="3" fontId="17" fillId="0" borderId="0" xfId="4" applyFont="1" applyAlignment="1">
      <alignment horizontal="left" vertical="center"/>
    </xf>
    <xf numFmtId="3" fontId="5" fillId="0" borderId="24" xfId="5" quotePrefix="1" applyFont="1" applyBorder="1" applyAlignment="1">
      <alignment horizontal="center" vertical="center" wrapText="1"/>
    </xf>
    <xf numFmtId="3" fontId="17" fillId="0" borderId="0" xfId="7" applyFont="1" applyBorder="1" applyAlignment="1">
      <alignment vertical="center"/>
    </xf>
    <xf numFmtId="165" fontId="5" fillId="0" borderId="0" xfId="8" applyNumberFormat="1" applyFont="1" applyAlignment="1">
      <alignment vertical="center"/>
    </xf>
    <xf numFmtId="176" fontId="5" fillId="2" borderId="26" xfId="9" applyFont="1" applyFill="1" applyAlignment="1">
      <alignment horizontal="left" vertical="top" wrapText="1" indent="1"/>
      <protection locked="0"/>
    </xf>
    <xf numFmtId="176" fontId="11" fillId="2" borderId="27" xfId="10" applyFont="1" applyFill="1">
      <alignment horizontal="left" vertical="top" wrapText="1"/>
      <protection locked="0"/>
    </xf>
    <xf numFmtId="176" fontId="19" fillId="2" borderId="26" xfId="9" applyFont="1" applyFill="1">
      <alignment horizontal="left" vertical="top" wrapText="1"/>
      <protection locked="0"/>
    </xf>
    <xf numFmtId="165" fontId="5" fillId="2" borderId="0" xfId="11" applyNumberFormat="1" applyFont="1" applyFill="1" applyAlignment="1" applyProtection="1">
      <alignment vertical="center"/>
      <protection locked="0"/>
    </xf>
    <xf numFmtId="165" fontId="5" fillId="0" borderId="0" xfId="11" applyNumberFormat="1" applyFont="1" applyAlignment="1">
      <alignment vertical="center"/>
    </xf>
    <xf numFmtId="3" fontId="5" fillId="0" borderId="25" xfId="7" applyFont="1" applyAlignment="1">
      <alignment horizontal="right" vertical="center"/>
    </xf>
    <xf numFmtId="176" fontId="39" fillId="0" borderId="25" xfId="10" applyFont="1" applyFill="1" applyBorder="1">
      <alignment horizontal="left" vertical="top" wrapText="1"/>
      <protection locked="0"/>
    </xf>
    <xf numFmtId="165" fontId="17" fillId="0" borderId="25" xfId="11" applyNumberFormat="1" applyFont="1" applyBorder="1" applyAlignment="1">
      <alignment vertical="center"/>
    </xf>
    <xf numFmtId="165" fontId="5" fillId="0" borderId="25" xfId="11" applyNumberFormat="1" applyFont="1" applyBorder="1" applyAlignment="1">
      <alignment vertical="center"/>
    </xf>
    <xf numFmtId="37" fontId="17" fillId="0" borderId="0" xfId="4" applyNumberFormat="1" applyFont="1" applyAlignment="1">
      <alignment vertical="center"/>
    </xf>
    <xf numFmtId="37" fontId="11" fillId="0" borderId="0" xfId="4" applyNumberFormat="1" applyFont="1" applyAlignment="1">
      <alignment vertical="center"/>
    </xf>
    <xf numFmtId="37" fontId="23" fillId="0" borderId="14" xfId="4" applyNumberFormat="1" applyFont="1" applyBorder="1" applyAlignment="1">
      <alignment vertical="center"/>
    </xf>
    <xf numFmtId="3" fontId="11" fillId="0" borderId="25" xfId="7" applyFont="1" applyAlignment="1">
      <alignment vertical="center"/>
    </xf>
    <xf numFmtId="3" fontId="17" fillId="0" borderId="25" xfId="7" applyFont="1" applyAlignment="1">
      <alignment vertical="center"/>
    </xf>
    <xf numFmtId="176" fontId="11" fillId="0" borderId="25" xfId="10" applyFont="1" applyFill="1" applyBorder="1" applyAlignment="1">
      <alignment horizontal="left" vertical="center" wrapText="1"/>
      <protection locked="0"/>
    </xf>
    <xf numFmtId="175" fontId="23" fillId="0" borderId="26" xfId="12" applyNumberFormat="1" applyFont="1" applyBorder="1" applyAlignment="1" applyProtection="1">
      <alignment horizontal="left" vertical="top" wrapText="1"/>
      <protection locked="0"/>
    </xf>
    <xf numFmtId="165" fontId="5" fillId="2" borderId="25" xfId="11" applyNumberFormat="1" applyFont="1" applyFill="1" applyBorder="1" applyAlignment="1" applyProtection="1">
      <alignment vertical="center"/>
      <protection locked="0"/>
    </xf>
    <xf numFmtId="3" fontId="5" fillId="0" borderId="25" xfId="7" applyFont="1" applyAlignment="1">
      <alignment horizontal="left" vertical="center"/>
    </xf>
    <xf numFmtId="3" fontId="5" fillId="0" borderId="25" xfId="7" applyFont="1" applyAlignment="1">
      <alignment vertical="center"/>
    </xf>
    <xf numFmtId="3" fontId="5" fillId="0" borderId="25" xfId="7" applyFont="1" applyAlignment="1">
      <alignment horizontal="left"/>
    </xf>
    <xf numFmtId="3" fontId="5" fillId="0" borderId="25" xfId="7" applyFont="1"/>
    <xf numFmtId="165" fontId="5" fillId="0" borderId="25" xfId="11" applyNumberFormat="1" applyFont="1" applyBorder="1"/>
    <xf numFmtId="3" fontId="5" fillId="0" borderId="17" xfId="7" applyFont="1" applyBorder="1" applyAlignment="1">
      <alignment horizontal="left" vertical="center"/>
    </xf>
    <xf numFmtId="3" fontId="5" fillId="0" borderId="17" xfId="7" applyFont="1" applyBorder="1" applyAlignment="1">
      <alignment horizontal="center" vertical="center"/>
    </xf>
    <xf numFmtId="165" fontId="5" fillId="0" borderId="17" xfId="11" applyNumberFormat="1" applyFont="1" applyBorder="1" applyAlignment="1">
      <alignment vertical="center"/>
    </xf>
    <xf numFmtId="3" fontId="5" fillId="0" borderId="8" xfId="7" applyFont="1" applyBorder="1" applyAlignment="1">
      <alignment horizontal="left" vertical="center"/>
    </xf>
    <xf numFmtId="3" fontId="5" fillId="0" borderId="8" xfId="7" applyFont="1" applyBorder="1" applyAlignment="1">
      <alignment horizontal="center" vertical="center"/>
    </xf>
    <xf numFmtId="165" fontId="5" fillId="0" borderId="8" xfId="11" applyNumberFormat="1" applyFont="1" applyBorder="1" applyAlignment="1">
      <alignment vertical="center"/>
    </xf>
    <xf numFmtId="3" fontId="17" fillId="0" borderId="11" xfId="4" applyFont="1" applyBorder="1" applyAlignment="1">
      <alignment horizontal="left" vertical="center"/>
    </xf>
    <xf numFmtId="3" fontId="23" fillId="0" borderId="11" xfId="4" applyFont="1" applyBorder="1" applyAlignment="1">
      <alignment horizontal="left" vertical="center"/>
    </xf>
    <xf numFmtId="165" fontId="5" fillId="0" borderId="11" xfId="11" applyNumberFormat="1" applyFont="1" applyBorder="1" applyAlignment="1">
      <alignment vertical="center"/>
    </xf>
    <xf numFmtId="176" fontId="5" fillId="2" borderId="26" xfId="9" quotePrefix="1" applyFont="1" applyFill="1">
      <alignment horizontal="left" vertical="top" wrapText="1"/>
      <protection locked="0"/>
    </xf>
    <xf numFmtId="176" fontId="5" fillId="2" borderId="26" xfId="9" applyFont="1" applyFill="1">
      <alignment horizontal="left" vertical="top" wrapText="1"/>
      <protection locked="0"/>
    </xf>
    <xf numFmtId="164" fontId="5" fillId="0" borderId="25" xfId="7" applyNumberFormat="1" applyFont="1" applyAlignment="1">
      <alignment horizontal="center" vertical="center"/>
    </xf>
    <xf numFmtId="3" fontId="17" fillId="0" borderId="25" xfId="7" applyFont="1" applyAlignment="1">
      <alignment horizontal="left" vertical="center"/>
    </xf>
    <xf numFmtId="0" fontId="17" fillId="3" borderId="0" xfId="0" applyFont="1" applyFill="1" applyAlignment="1">
      <alignment vertical="center"/>
    </xf>
    <xf numFmtId="178" fontId="4" fillId="3" borderId="0" xfId="0" applyNumberFormat="1" applyFont="1" applyFill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Continuous"/>
    </xf>
    <xf numFmtId="172" fontId="10" fillId="0" borderId="11" xfId="0" applyNumberFormat="1" applyFont="1" applyBorder="1" applyAlignment="1">
      <alignment horizontal="centerContinuous"/>
    </xf>
    <xf numFmtId="3" fontId="17" fillId="0" borderId="11" xfId="0" applyNumberFormat="1" applyFont="1" applyBorder="1"/>
    <xf numFmtId="0" fontId="5" fillId="0" borderId="23" xfId="0" applyFont="1" applyBorder="1"/>
    <xf numFmtId="3" fontId="5" fillId="2" borderId="21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centerContinuous"/>
    </xf>
    <xf numFmtId="0" fontId="40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3" fontId="17" fillId="0" borderId="2" xfId="0" applyNumberFormat="1" applyFont="1" applyBorder="1"/>
    <xf numFmtId="0" fontId="26" fillId="0" borderId="0" xfId="0" applyFont="1" applyAlignment="1">
      <alignment horizontal="center"/>
    </xf>
    <xf numFmtId="3" fontId="41" fillId="0" borderId="2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2" borderId="21" xfId="0" applyFont="1" applyFill="1" applyBorder="1"/>
    <xf numFmtId="0" fontId="5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0" xfId="0" applyNumberFormat="1" applyFont="1" applyAlignment="1">
      <alignment horizontal="center"/>
    </xf>
    <xf numFmtId="3" fontId="5" fillId="2" borderId="31" xfId="0" applyNumberFormat="1" applyFont="1" applyFill="1" applyBorder="1" applyAlignment="1">
      <alignment horizontal="center"/>
    </xf>
    <xf numFmtId="178" fontId="10" fillId="0" borderId="0" xfId="0" applyNumberFormat="1" applyFont="1" applyAlignment="1">
      <alignment horizontal="center"/>
    </xf>
    <xf numFmtId="3" fontId="5" fillId="2" borderId="3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178" fontId="4" fillId="0" borderId="8" xfId="0" applyNumberFormat="1" applyFont="1" applyBorder="1" applyAlignment="1">
      <alignment horizontal="center"/>
    </xf>
    <xf numFmtId="3" fontId="17" fillId="0" borderId="9" xfId="0" applyNumberFormat="1" applyFont="1" applyBorder="1" applyAlignment="1">
      <alignment horizontal="center"/>
    </xf>
    <xf numFmtId="0" fontId="10" fillId="3" borderId="0" xfId="0" applyFont="1" applyFill="1" applyAlignment="1">
      <alignment horizontal="centerContinuous"/>
    </xf>
    <xf numFmtId="10" fontId="5" fillId="0" borderId="0" xfId="13" applyNumberFormat="1" applyFont="1"/>
    <xf numFmtId="37" fontId="5" fillId="0" borderId="0" xfId="0" applyNumberFormat="1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23" fillId="0" borderId="0" xfId="0" applyFont="1"/>
    <xf numFmtId="0" fontId="4" fillId="0" borderId="6" xfId="0" applyFont="1" applyBorder="1"/>
    <xf numFmtId="0" fontId="4" fillId="0" borderId="11" xfId="0" applyFont="1" applyBorder="1"/>
    <xf numFmtId="0" fontId="10" fillId="0" borderId="11" xfId="0" applyFont="1" applyBorder="1"/>
    <xf numFmtId="0" fontId="0" fillId="3" borderId="0" xfId="0" applyFill="1"/>
    <xf numFmtId="0" fontId="17" fillId="0" borderId="2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 wrapText="1"/>
    </xf>
    <xf numFmtId="0" fontId="17" fillId="0" borderId="8" xfId="14" applyFont="1" applyBorder="1" applyAlignment="1">
      <alignment horizontal="center" wrapText="1"/>
    </xf>
    <xf numFmtId="0" fontId="17" fillId="0" borderId="9" xfId="14" applyFont="1" applyBorder="1" applyAlignment="1">
      <alignment horizontal="center" wrapText="1"/>
    </xf>
    <xf numFmtId="0" fontId="5" fillId="2" borderId="33" xfId="14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2" borderId="34" xfId="14" applyFont="1" applyFill="1" applyBorder="1" applyAlignment="1">
      <alignment horizontal="center"/>
    </xf>
    <xf numFmtId="0" fontId="5" fillId="2" borderId="21" xfId="14" applyFont="1" applyFill="1" applyBorder="1" applyAlignment="1">
      <alignment horizontal="center"/>
    </xf>
    <xf numFmtId="3" fontId="5" fillId="2" borderId="35" xfId="0" applyNumberFormat="1" applyFont="1" applyFill="1" applyBorder="1" applyAlignment="1">
      <alignment horizontal="center"/>
    </xf>
    <xf numFmtId="171" fontId="5" fillId="0" borderId="0" xfId="2" applyNumberFormat="1" applyFont="1" applyAlignment="1">
      <alignment horizontal="center"/>
    </xf>
    <xf numFmtId="10" fontId="41" fillId="0" borderId="0" xfId="13" applyNumberFormat="1" applyFont="1"/>
    <xf numFmtId="37" fontId="10" fillId="0" borderId="11" xfId="0" applyNumberFormat="1" applyFont="1" applyBorder="1"/>
    <xf numFmtId="9" fontId="5" fillId="3" borderId="0" xfId="13" applyFont="1" applyFill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10" fillId="2" borderId="37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9" fontId="5" fillId="2" borderId="31" xfId="2" applyFont="1" applyFill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Continuous"/>
    </xf>
    <xf numFmtId="172" fontId="5" fillId="3" borderId="0" xfId="0" applyNumberFormat="1" applyFont="1" applyFill="1" applyAlignment="1">
      <alignment horizontal="centerContinuous"/>
    </xf>
    <xf numFmtId="37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9" fontId="5" fillId="3" borderId="0" xfId="13" applyFont="1" applyFill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3" fontId="5" fillId="0" borderId="31" xfId="0" applyNumberFormat="1" applyFont="1" applyBorder="1" applyAlignment="1">
      <alignment horizontal="center"/>
    </xf>
    <xf numFmtId="0" fontId="5" fillId="3" borderId="0" xfId="0" applyFont="1" applyFill="1" applyAlignment="1">
      <alignment horizontal="right"/>
    </xf>
    <xf numFmtId="1" fontId="5" fillId="3" borderId="0" xfId="0" applyNumberFormat="1" applyFont="1" applyFill="1" applyAlignment="1">
      <alignment horizontal="center"/>
    </xf>
    <xf numFmtId="173" fontId="5" fillId="0" borderId="0" xfId="15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9" fontId="5" fillId="2" borderId="31" xfId="2" applyFont="1" applyFill="1" applyBorder="1" applyAlignment="1">
      <alignment horizontal="center"/>
    </xf>
    <xf numFmtId="178" fontId="5" fillId="3" borderId="0" xfId="0" applyNumberFormat="1" applyFont="1" applyFill="1" applyAlignment="1">
      <alignment horizontal="center"/>
    </xf>
    <xf numFmtId="166" fontId="5" fillId="0" borderId="0" xfId="0" applyNumberFormat="1" applyFont="1"/>
    <xf numFmtId="164" fontId="4" fillId="0" borderId="0" xfId="0" applyNumberFormat="1" applyFont="1"/>
    <xf numFmtId="10" fontId="15" fillId="0" borderId="0" xfId="0" applyNumberFormat="1" applyFont="1" applyAlignment="1">
      <alignment horizontal="right"/>
    </xf>
    <xf numFmtId="0" fontId="43" fillId="4" borderId="0" xfId="0" applyFont="1" applyFill="1"/>
    <xf numFmtId="0" fontId="5" fillId="4" borderId="0" xfId="0" applyFont="1" applyFill="1"/>
    <xf numFmtId="0" fontId="44" fillId="4" borderId="6" xfId="0" applyFont="1" applyFill="1" applyBorder="1"/>
    <xf numFmtId="0" fontId="29" fillId="4" borderId="11" xfId="0" applyFont="1" applyFill="1" applyBorder="1"/>
    <xf numFmtId="0" fontId="11" fillId="4" borderId="11" xfId="0" applyFont="1" applyFill="1" applyBorder="1"/>
    <xf numFmtId="0" fontId="11" fillId="4" borderId="23" xfId="0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11" fillId="4" borderId="0" xfId="0" applyFont="1" applyFill="1"/>
    <xf numFmtId="0" fontId="11" fillId="4" borderId="2" xfId="0" applyFont="1" applyFill="1" applyBorder="1"/>
    <xf numFmtId="0" fontId="11" fillId="4" borderId="1" xfId="0" applyFont="1" applyFill="1" applyBorder="1"/>
    <xf numFmtId="0" fontId="17" fillId="4" borderId="0" xfId="0" applyFont="1" applyFill="1"/>
    <xf numFmtId="0" fontId="3" fillId="4" borderId="1" xfId="0" applyFont="1" applyFill="1" applyBorder="1"/>
    <xf numFmtId="17" fontId="11" fillId="4" borderId="38" xfId="0" applyNumberFormat="1" applyFont="1" applyFill="1" applyBorder="1" applyAlignment="1">
      <alignment horizontal="center" wrapText="1"/>
    </xf>
    <xf numFmtId="0" fontId="11" fillId="4" borderId="38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 wrapText="1"/>
    </xf>
    <xf numFmtId="171" fontId="11" fillId="4" borderId="0" xfId="16" applyNumberFormat="1" applyFill="1" applyAlignment="1">
      <alignment horizontal="center"/>
    </xf>
    <xf numFmtId="171" fontId="11" fillId="4" borderId="2" xfId="16" applyNumberFormat="1" applyFill="1" applyBorder="1" applyAlignment="1">
      <alignment horizontal="center"/>
    </xf>
    <xf numFmtId="171" fontId="11" fillId="4" borderId="39" xfId="16" applyNumberFormat="1" applyFill="1" applyBorder="1" applyAlignment="1">
      <alignment horizontal="center"/>
    </xf>
    <xf numFmtId="171" fontId="11" fillId="4" borderId="40" xfId="16" applyNumberForma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10" fontId="11" fillId="4" borderId="0" xfId="0" applyNumberFormat="1" applyFont="1" applyFill="1"/>
    <xf numFmtId="0" fontId="7" fillId="4" borderId="1" xfId="0" applyFont="1" applyFill="1" applyBorder="1" applyAlignment="1">
      <alignment horizontal="left"/>
    </xf>
    <xf numFmtId="10" fontId="11" fillId="4" borderId="0" xfId="13" applyNumberFormat="1" applyFill="1"/>
    <xf numFmtId="0" fontId="11" fillId="4" borderId="7" xfId="0" applyFont="1" applyFill="1" applyBorder="1"/>
    <xf numFmtId="0" fontId="11" fillId="4" borderId="8" xfId="0" applyFont="1" applyFill="1" applyBorder="1"/>
    <xf numFmtId="0" fontId="11" fillId="4" borderId="9" xfId="0" applyFont="1" applyFill="1" applyBorder="1"/>
    <xf numFmtId="171" fontId="11" fillId="4" borderId="0" xfId="16" applyNumberFormat="1" applyFill="1"/>
    <xf numFmtId="171" fontId="5" fillId="2" borderId="0" xfId="2" applyNumberFormat="1" applyFont="1" applyFill="1" applyAlignment="1">
      <alignment horizontal="center"/>
    </xf>
    <xf numFmtId="0" fontId="5" fillId="2" borderId="30" xfId="0" applyFont="1" applyFill="1" applyBorder="1" applyAlignment="1" applyProtection="1">
      <alignment horizontal="center"/>
    </xf>
    <xf numFmtId="0" fontId="10" fillId="0" borderId="0" xfId="0" applyFont="1" applyBorder="1"/>
    <xf numFmtId="0" fontId="10" fillId="3" borderId="0" xfId="0" applyFont="1" applyFill="1" applyBorder="1"/>
    <xf numFmtId="0" fontId="10" fillId="3" borderId="8" xfId="0" applyFont="1" applyFill="1" applyBorder="1"/>
    <xf numFmtId="0" fontId="5" fillId="0" borderId="0" xfId="0" applyFont="1" applyBorder="1"/>
    <xf numFmtId="0" fontId="5" fillId="3" borderId="0" xfId="0" applyFont="1" applyFill="1" applyBorder="1"/>
    <xf numFmtId="0" fontId="0" fillId="3" borderId="0" xfId="0" applyFill="1" applyAlignment="1">
      <alignment horizontal="center"/>
    </xf>
    <xf numFmtId="164" fontId="10" fillId="3" borderId="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171" fontId="4" fillId="3" borderId="0" xfId="2" applyNumberFormat="1" applyFont="1" applyFill="1" applyBorder="1" applyAlignment="1">
      <alignment vertical="center"/>
    </xf>
    <xf numFmtId="0" fontId="11" fillId="0" borderId="0" xfId="0" applyFont="1" applyFill="1"/>
    <xf numFmtId="171" fontId="11" fillId="0" borderId="0" xfId="0" applyNumberFormat="1" applyFont="1" applyFill="1"/>
    <xf numFmtId="0" fontId="12" fillId="0" borderId="7" xfId="1" applyNumberFormat="1" applyFont="1" applyBorder="1"/>
    <xf numFmtId="0" fontId="19" fillId="0" borderId="1" xfId="0" applyNumberFormat="1" applyFont="1" applyBorder="1"/>
    <xf numFmtId="9" fontId="12" fillId="0" borderId="0" xfId="3" applyNumberFormat="1" applyFont="1"/>
    <xf numFmtId="179" fontId="5" fillId="2" borderId="0" xfId="2" applyNumberFormat="1" applyFont="1" applyFill="1" applyAlignment="1">
      <alignment horizontal="right"/>
    </xf>
    <xf numFmtId="3" fontId="5" fillId="0" borderId="0" xfId="4" applyFont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0" fillId="3" borderId="8" xfId="0" applyFont="1" applyFill="1" applyBorder="1" applyAlignment="1">
      <alignment horizontal="centerContinuous"/>
    </xf>
    <xf numFmtId="0" fontId="10" fillId="3" borderId="41" xfId="0" applyFont="1" applyFill="1" applyBorder="1"/>
    <xf numFmtId="0" fontId="5" fillId="0" borderId="33" xfId="14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34" xfId="14" applyFont="1" applyFill="1" applyBorder="1" applyAlignment="1">
      <alignment horizontal="center"/>
    </xf>
    <xf numFmtId="0" fontId="5" fillId="0" borderId="21" xfId="14" applyFont="1" applyFill="1" applyBorder="1" applyAlignment="1">
      <alignment horizontal="center"/>
    </xf>
    <xf numFmtId="0" fontId="5" fillId="0" borderId="21" xfId="0" applyFont="1" applyFill="1" applyBorder="1"/>
    <xf numFmtId="3" fontId="5" fillId="0" borderId="21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71" fontId="17" fillId="0" borderId="42" xfId="2" applyNumberFormat="1" applyFont="1" applyFill="1" applyBorder="1" applyAlignment="1">
      <alignment horizontal="center"/>
    </xf>
    <xf numFmtId="0" fontId="11" fillId="0" borderId="0" xfId="0" applyNumberFormat="1" applyFont="1" applyProtection="1">
      <protection locked="0"/>
    </xf>
    <xf numFmtId="3" fontId="17" fillId="0" borderId="25" xfId="4" applyFont="1" applyBorder="1" applyAlignment="1">
      <alignment horizontal="left" vertical="center"/>
    </xf>
    <xf numFmtId="168" fontId="17" fillId="0" borderId="25" xfId="8" applyNumberFormat="1" applyFont="1" applyBorder="1" applyAlignment="1">
      <alignment horizontal="left" vertical="center"/>
    </xf>
    <xf numFmtId="0" fontId="46" fillId="0" borderId="0" xfId="0" applyFont="1"/>
    <xf numFmtId="168" fontId="42" fillId="0" borderId="21" xfId="8" applyNumberFormat="1" applyFont="1" applyBorder="1" applyAlignment="1">
      <alignment vertical="center"/>
    </xf>
    <xf numFmtId="0" fontId="42" fillId="2" borderId="21" xfId="8" applyNumberFormat="1" applyFont="1" applyFill="1" applyBorder="1" applyAlignment="1">
      <alignment horizontal="left" vertical="center"/>
    </xf>
    <xf numFmtId="0" fontId="46" fillId="0" borderId="21" xfId="0" applyFont="1" applyBorder="1"/>
    <xf numFmtId="0" fontId="46" fillId="2" borderId="21" xfId="0" applyFont="1" applyFill="1" applyBorder="1"/>
    <xf numFmtId="165" fontId="5" fillId="0" borderId="42" xfId="8" applyNumberFormat="1" applyFont="1" applyBorder="1" applyAlignment="1">
      <alignment vertical="center"/>
    </xf>
    <xf numFmtId="165" fontId="5" fillId="0" borderId="42" xfId="11" applyNumberFormat="1" applyFont="1" applyBorder="1" applyAlignment="1">
      <alignment vertical="center"/>
    </xf>
    <xf numFmtId="165" fontId="5" fillId="0" borderId="34" xfId="11" applyNumberFormat="1" applyFont="1" applyBorder="1" applyAlignment="1">
      <alignment vertical="center"/>
    </xf>
    <xf numFmtId="165" fontId="5" fillId="0" borderId="43" xfId="11" applyNumberFormat="1" applyFont="1" applyBorder="1" applyAlignment="1">
      <alignment vertical="center"/>
    </xf>
    <xf numFmtId="0" fontId="5" fillId="0" borderId="0" xfId="11" applyNumberFormat="1" applyFont="1" applyFill="1" applyAlignment="1" applyProtection="1">
      <alignment vertical="center"/>
      <protection locked="0"/>
    </xf>
    <xf numFmtId="167" fontId="5" fillId="0" borderId="0" xfId="11" applyFont="1" applyFill="1" applyAlignment="1" applyProtection="1">
      <alignment vertical="center"/>
      <protection locked="0"/>
    </xf>
    <xf numFmtId="165" fontId="17" fillId="0" borderId="25" xfId="11" applyNumberFormat="1" applyFont="1" applyFill="1" applyBorder="1" applyAlignment="1">
      <alignment vertical="center"/>
    </xf>
    <xf numFmtId="165" fontId="5" fillId="0" borderId="0" xfId="11" applyNumberFormat="1" applyFont="1" applyFill="1" applyAlignment="1">
      <alignment vertical="center"/>
    </xf>
    <xf numFmtId="0" fontId="5" fillId="0" borderId="25" xfId="11" applyNumberFormat="1" applyFont="1" applyFill="1" applyBorder="1" applyAlignment="1" applyProtection="1">
      <alignment vertical="center"/>
      <protection locked="0"/>
    </xf>
    <xf numFmtId="165" fontId="5" fillId="0" borderId="25" xfId="11" applyNumberFormat="1" applyFont="1" applyFill="1" applyBorder="1" applyAlignment="1">
      <alignment vertical="center"/>
    </xf>
    <xf numFmtId="165" fontId="5" fillId="0" borderId="25" xfId="11" applyNumberFormat="1" applyFont="1" applyFill="1" applyBorder="1"/>
    <xf numFmtId="165" fontId="5" fillId="0" borderId="17" xfId="11" applyNumberFormat="1" applyFont="1" applyFill="1" applyBorder="1" applyAlignment="1">
      <alignment vertical="center"/>
    </xf>
    <xf numFmtId="165" fontId="5" fillId="0" borderId="8" xfId="11" applyNumberFormat="1" applyFont="1" applyFill="1" applyBorder="1" applyAlignment="1">
      <alignment vertical="center"/>
    </xf>
    <xf numFmtId="165" fontId="5" fillId="0" borderId="11" xfId="11" applyNumberFormat="1" applyFont="1" applyFill="1" applyBorder="1" applyAlignment="1">
      <alignment vertical="center"/>
    </xf>
    <xf numFmtId="0" fontId="0" fillId="0" borderId="0" xfId="0" applyAlignment="1"/>
    <xf numFmtId="0" fontId="10" fillId="0" borderId="36" xfId="0" applyFont="1" applyBorder="1"/>
    <xf numFmtId="0" fontId="4" fillId="3" borderId="0" xfId="0" applyFont="1" applyFill="1" applyAlignment="1">
      <alignment horizontal="right"/>
    </xf>
    <xf numFmtId="171" fontId="12" fillId="0" borderId="0" xfId="0" applyNumberFormat="1" applyFont="1"/>
    <xf numFmtId="0" fontId="10" fillId="0" borderId="0" xfId="0" applyFont="1" applyBorder="1" applyAlignment="1">
      <alignment horizontal="left" vertical="top"/>
    </xf>
    <xf numFmtId="169" fontId="10" fillId="0" borderId="0" xfId="2" applyFont="1" applyBorder="1"/>
    <xf numFmtId="0" fontId="12" fillId="0" borderId="0" xfId="0" applyFont="1" applyBorder="1" applyAlignment="1">
      <alignment horizontal="left" indent="1"/>
    </xf>
    <xf numFmtId="10" fontId="10" fillId="0" borderId="0" xfId="0" applyNumberFormat="1" applyFont="1" applyBorder="1"/>
    <xf numFmtId="0" fontId="12" fillId="0" borderId="0" xfId="0" applyFont="1" applyBorder="1" applyAlignment="1">
      <alignment horizontal="right"/>
    </xf>
    <xf numFmtId="172" fontId="12" fillId="0" borderId="0" xfId="0" applyNumberFormat="1" applyFont="1" applyBorder="1" applyAlignment="1">
      <alignment horizontal="left"/>
    </xf>
    <xf numFmtId="171" fontId="16" fillId="0" borderId="0" xfId="2" applyNumberFormat="1" applyFont="1" applyFill="1"/>
    <xf numFmtId="171" fontId="5" fillId="2" borderId="0" xfId="2" applyNumberFormat="1" applyFont="1" applyFill="1"/>
    <xf numFmtId="3" fontId="22" fillId="2" borderId="0" xfId="2" applyNumberFormat="1" applyFont="1" applyFill="1"/>
    <xf numFmtId="3" fontId="10" fillId="2" borderId="0" xfId="1" applyNumberFormat="1" applyFont="1" applyFill="1"/>
    <xf numFmtId="164" fontId="10" fillId="2" borderId="0" xfId="2" applyNumberFormat="1" applyFont="1" applyFill="1" applyAlignment="1">
      <alignment horizontal="right"/>
    </xf>
    <xf numFmtId="164" fontId="10" fillId="2" borderId="0" xfId="1" applyNumberFormat="1" applyFont="1" applyFill="1" applyAlignment="1"/>
    <xf numFmtId="172" fontId="8" fillId="0" borderId="9" xfId="0" applyNumberFormat="1" applyFont="1" applyBorder="1" applyAlignment="1"/>
    <xf numFmtId="164" fontId="15" fillId="0" borderId="0" xfId="0" applyNumberFormat="1" applyFont="1" applyBorder="1"/>
    <xf numFmtId="171" fontId="8" fillId="0" borderId="0" xfId="0" applyNumberFormat="1" applyFont="1" applyBorder="1"/>
    <xf numFmtId="171" fontId="4" fillId="3" borderId="45" xfId="0" applyNumberFormat="1" applyFont="1" applyFill="1" applyBorder="1"/>
    <xf numFmtId="0" fontId="47" fillId="0" borderId="0" xfId="0" applyFont="1"/>
    <xf numFmtId="0" fontId="47" fillId="0" borderId="0" xfId="0" applyFont="1" applyAlignment="1">
      <alignment vertical="center"/>
    </xf>
    <xf numFmtId="3" fontId="5" fillId="0" borderId="0" xfId="4" applyFont="1" applyAlignment="1">
      <alignment horizontal="center" vertical="center" wrapText="1"/>
    </xf>
    <xf numFmtId="3" fontId="5" fillId="0" borderId="42" xfId="4" applyFont="1" applyBorder="1" applyAlignment="1">
      <alignment horizontal="center" vertical="center" wrapText="1"/>
    </xf>
    <xf numFmtId="3" fontId="5" fillId="0" borderId="24" xfId="4" applyFont="1" applyBorder="1" applyAlignment="1">
      <alignment horizontal="left" vertical="center" wrapText="1"/>
    </xf>
    <xf numFmtId="3" fontId="5" fillId="0" borderId="17" xfId="4" applyFont="1" applyBorder="1" applyAlignment="1">
      <alignment horizontal="left" vertical="center" wrapText="1"/>
    </xf>
    <xf numFmtId="177" fontId="36" fillId="0" borderId="24" xfId="6" applyNumberFormat="1" applyFont="1" applyFill="1" applyBorder="1" applyAlignment="1">
      <alignment horizontal="right" vertical="center" wrapText="1"/>
      <protection locked="0"/>
    </xf>
    <xf numFmtId="3" fontId="5" fillId="0" borderId="44" xfId="4" applyFont="1" applyBorder="1" applyAlignment="1">
      <alignment horizontal="right" vertical="center" wrapText="1"/>
    </xf>
    <xf numFmtId="3" fontId="5" fillId="0" borderId="0" xfId="4" applyFont="1" applyAlignment="1">
      <alignment horizontal="left" vertical="center"/>
    </xf>
    <xf numFmtId="37" fontId="5" fillId="0" borderId="0" xfId="4" applyNumberFormat="1" applyFont="1" applyAlignment="1">
      <alignment vertical="center"/>
    </xf>
    <xf numFmtId="3" fontId="23" fillId="0" borderId="25" xfId="7" applyFont="1" applyAlignment="1">
      <alignment vertical="center"/>
    </xf>
    <xf numFmtId="3" fontId="5" fillId="0" borderId="42" xfId="4" applyFont="1" applyBorder="1" applyAlignment="1">
      <alignment horizontal="center" wrapText="1"/>
    </xf>
    <xf numFmtId="3" fontId="23" fillId="0" borderId="25" xfId="7" applyFont="1"/>
    <xf numFmtId="3" fontId="5" fillId="0" borderId="0" xfId="4" applyFont="1">
      <alignment horizontal="left"/>
    </xf>
    <xf numFmtId="3" fontId="5" fillId="0" borderId="42" xfId="4" applyFont="1" applyBorder="1" applyAlignment="1">
      <alignment horizontal="left" vertical="center"/>
    </xf>
    <xf numFmtId="3" fontId="23" fillId="0" borderId="17" xfId="7" applyFont="1" applyBorder="1" applyAlignment="1">
      <alignment horizontal="left" vertical="center"/>
    </xf>
    <xf numFmtId="3" fontId="23" fillId="0" borderId="8" xfId="7" applyFont="1" applyBorder="1" applyAlignment="1">
      <alignment horizontal="left" vertical="center"/>
    </xf>
    <xf numFmtId="176" fontId="36" fillId="0" borderId="11" xfId="6" applyFont="1" applyFill="1" applyBorder="1" applyAlignment="1">
      <alignment horizontal="left" vertical="center"/>
      <protection locked="0"/>
    </xf>
    <xf numFmtId="0" fontId="48" fillId="0" borderId="0" xfId="0" applyFont="1" applyBorder="1"/>
    <xf numFmtId="0" fontId="47" fillId="0" borderId="0" xfId="0" applyFont="1" applyBorder="1"/>
    <xf numFmtId="0" fontId="48" fillId="0" borderId="0" xfId="0" applyFont="1"/>
    <xf numFmtId="165" fontId="48" fillId="0" borderId="0" xfId="0" applyNumberFormat="1" applyFont="1" applyFill="1" applyAlignment="1">
      <alignment horizontal="left"/>
    </xf>
    <xf numFmtId="171" fontId="47" fillId="2" borderId="21" xfId="2" applyNumberFormat="1" applyFont="1" applyFill="1" applyBorder="1"/>
    <xf numFmtId="164" fontId="48" fillId="0" borderId="0" xfId="2" applyNumberFormat="1" applyFont="1" applyFill="1" applyBorder="1" applyAlignment="1">
      <alignment horizontal="left"/>
    </xf>
    <xf numFmtId="9" fontId="47" fillId="0" borderId="21" xfId="3" applyFont="1" applyFill="1" applyBorder="1"/>
    <xf numFmtId="0" fontId="47" fillId="0" borderId="21" xfId="0" applyFont="1" applyFill="1" applyBorder="1"/>
    <xf numFmtId="0" fontId="49" fillId="0" borderId="0" xfId="0" applyFont="1"/>
    <xf numFmtId="169" fontId="47" fillId="2" borderId="21" xfId="0" applyNumberFormat="1" applyFont="1" applyFill="1" applyBorder="1"/>
    <xf numFmtId="180" fontId="47" fillId="2" borderId="21" xfId="0" applyNumberFormat="1" applyFont="1" applyFill="1" applyBorder="1"/>
    <xf numFmtId="0" fontId="49" fillId="0" borderId="0" xfId="0" applyFont="1" applyAlignment="1">
      <alignment wrapText="1"/>
    </xf>
    <xf numFmtId="0" fontId="47" fillId="2" borderId="21" xfId="0" applyFont="1" applyFill="1" applyBorder="1"/>
    <xf numFmtId="167" fontId="47" fillId="0" borderId="21" xfId="0" applyNumberFormat="1" applyFont="1" applyFill="1" applyBorder="1"/>
    <xf numFmtId="172" fontId="47" fillId="0" borderId="21" xfId="0" applyNumberFormat="1" applyFont="1" applyFill="1" applyBorder="1"/>
    <xf numFmtId="172" fontId="47" fillId="0" borderId="0" xfId="0" applyNumberFormat="1" applyFont="1"/>
    <xf numFmtId="174" fontId="47" fillId="0" borderId="0" xfId="0" applyNumberFormat="1" applyFont="1"/>
    <xf numFmtId="3" fontId="47" fillId="0" borderId="0" xfId="0" applyNumberFormat="1" applyFont="1"/>
    <xf numFmtId="174" fontId="47" fillId="0" borderId="0" xfId="0" applyNumberFormat="1" applyFont="1" applyFill="1"/>
    <xf numFmtId="0" fontId="47" fillId="0" borderId="0" xfId="0" applyNumberFormat="1" applyFont="1"/>
    <xf numFmtId="9" fontId="46" fillId="0" borderId="0" xfId="3" applyFont="1"/>
    <xf numFmtId="0" fontId="23" fillId="2" borderId="30" xfId="0" applyFont="1" applyFill="1" applyBorder="1" applyAlignment="1" applyProtection="1">
      <alignment horizontal="center"/>
      <protection locked="0"/>
    </xf>
    <xf numFmtId="0" fontId="46" fillId="2" borderId="21" xfId="0" applyNumberFormat="1" applyFont="1" applyFill="1" applyBorder="1"/>
    <xf numFmtId="0" fontId="11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171" fontId="17" fillId="0" borderId="36" xfId="2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17" fillId="0" borderId="0" xfId="0" applyFont="1" applyAlignment="1"/>
    <xf numFmtId="0" fontId="0" fillId="0" borderId="0" xfId="0" applyAlignment="1"/>
    <xf numFmtId="0" fontId="45" fillId="0" borderId="11" xfId="0" applyFont="1" applyBorder="1" applyAlignment="1"/>
    <xf numFmtId="0" fontId="0" fillId="0" borderId="11" xfId="0" applyBorder="1" applyAlignment="1"/>
    <xf numFmtId="171" fontId="4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1" fontId="5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21" fillId="3" borderId="6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172" fontId="13" fillId="3" borderId="3" xfId="0" applyNumberFormat="1" applyFont="1" applyFill="1" applyBorder="1" applyAlignment="1">
      <alignment horizontal="center"/>
    </xf>
    <xf numFmtId="172" fontId="13" fillId="3" borderId="4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1" fillId="3" borderId="1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3" fontId="19" fillId="0" borderId="0" xfId="4" applyFont="1" applyAlignment="1">
      <alignment horizontal="center" wrapText="1"/>
    </xf>
    <xf numFmtId="0" fontId="48" fillId="0" borderId="0" xfId="0" applyFont="1" applyBorder="1" applyAlignment="1">
      <alignment wrapText="1"/>
    </xf>
    <xf numFmtId="0" fontId="48" fillId="0" borderId="0" xfId="0" applyFont="1" applyAlignment="1">
      <alignment wrapText="1"/>
    </xf>
  </cellXfs>
  <cellStyles count="17">
    <cellStyle name="Comma" xfId="1" builtinId="3"/>
    <cellStyle name="Comma 2" xfId="15"/>
    <cellStyle name="Comma 3" xfId="8"/>
    <cellStyle name="Command" xfId="5"/>
    <cellStyle name="Currency" xfId="2" builtinId="4"/>
    <cellStyle name="Currency 2" xfId="16"/>
    <cellStyle name="Currency 3" xfId="11"/>
    <cellStyle name="drop down" xfId="10"/>
    <cellStyle name="input cells" xfId="6"/>
    <cellStyle name="Normal" xfId="0" builtinId="0"/>
    <cellStyle name="Normal 3" xfId="4"/>
    <cellStyle name="Normal_coop sale price analysis v2" xfId="14"/>
    <cellStyle name="Percent" xfId="3" builtinId="5"/>
    <cellStyle name="Percent 2" xfId="13"/>
    <cellStyle name="Percent 3" xfId="12"/>
    <cellStyle name="Subtotal" xfId="7"/>
    <cellStyle name="text cells" xfId="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Text 74">
          <a:extLst>
            <a:ext uri="{FF2B5EF4-FFF2-40B4-BE49-F238E27FC236}">
              <a16:creationId xmlns:a16="http://schemas.microsoft.com/office/drawing/2014/main" xmlns="" id="{A0A0C641-4C99-4404-9974-D551DC7B826E}"/>
            </a:ext>
          </a:extLst>
        </xdr:cNvPr>
        <xdr:cNvSpPr txBox="1">
          <a:spLocks noChangeArrowheads="1"/>
        </xdr:cNvSpPr>
      </xdr:nvSpPr>
      <xdr:spPr bwMode="auto">
        <a:xfrm>
          <a:off x="3778250" y="1377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D text options for Soft Costs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 cost"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PrintsWithSheet="0"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3" name="Text 75">
          <a:extLst>
            <a:ext uri="{FF2B5EF4-FFF2-40B4-BE49-F238E27FC236}">
              <a16:creationId xmlns:a16="http://schemas.microsoft.com/office/drawing/2014/main" xmlns="" id="{77251F91-FAFC-48DD-BD76-8153AC14FBA6}"/>
            </a:ext>
          </a:extLst>
        </xdr:cNvPr>
        <xdr:cNvSpPr txBox="1">
          <a:spLocks noChangeArrowheads="1"/>
        </xdr:cNvSpPr>
      </xdr:nvSpPr>
      <xdr:spPr bwMode="auto">
        <a:xfrm>
          <a:off x="3778250" y="1377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Operating Expenses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Use the Alternate Inflation Rate for those line items whose inflation rate is expected to vary from the standard Operating Expense Inflation Rate, entered below.</a:t>
          </a:r>
        </a:p>
      </xdr:txBody>
    </xdr:sp>
    <xdr:clientData fPrintsWithSheet="0"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4" name="Text 76">
          <a:extLst>
            <a:ext uri="{FF2B5EF4-FFF2-40B4-BE49-F238E27FC236}">
              <a16:creationId xmlns:a16="http://schemas.microsoft.com/office/drawing/2014/main" xmlns="" id="{E234EFC2-F4C1-4006-9437-52F2953EB44A}"/>
            </a:ext>
          </a:extLst>
        </xdr:cNvPr>
        <xdr:cNvSpPr txBox="1">
          <a:spLocks noChangeArrowheads="1"/>
        </xdr:cNvSpPr>
      </xdr:nvSpPr>
      <xdr:spPr bwMode="auto">
        <a:xfrm>
          <a:off x="3778250" y="1377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D text options for Land Acquisition/Pre-Development Expenses include: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square foot"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. 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" name="Text 77">
          <a:extLst>
            <a:ext uri="{FF2B5EF4-FFF2-40B4-BE49-F238E27FC236}">
              <a16:creationId xmlns:a16="http://schemas.microsoft.com/office/drawing/2014/main" xmlns="" id="{671D418D-EEE8-47E2-87C9-7944AAAB6E4D}"/>
            </a:ext>
          </a:extLst>
        </xdr:cNvPr>
        <xdr:cNvSpPr txBox="1">
          <a:spLocks noChangeArrowheads="1"/>
        </xdr:cNvSpPr>
      </xdr:nvSpPr>
      <xdr:spPr bwMode="auto">
        <a:xfrm>
          <a:off x="3778250" y="1377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Improvements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unit", and "per gross residential square foot".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6" name="Text 78">
          <a:extLst>
            <a:ext uri="{FF2B5EF4-FFF2-40B4-BE49-F238E27FC236}">
              <a16:creationId xmlns:a16="http://schemas.microsoft.com/office/drawing/2014/main" xmlns="" id="{62A23571-309B-4FDF-9EE2-04AD61A9A2F4}"/>
            </a:ext>
          </a:extLst>
        </xdr:cNvPr>
        <xdr:cNvSpPr txBox="1">
          <a:spLocks noChangeArrowheads="1"/>
        </xdr:cNvSpPr>
      </xdr:nvSpPr>
      <xdr:spPr bwMode="auto">
        <a:xfrm>
          <a:off x="3778250" y="1377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cs typeface="Arial"/>
            </a:rPr>
            <a:t>Note: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Column D text options for Improvements include: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"per total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1" strike="noStrike">
              <a:solidFill>
                <a:srgbClr val="000000"/>
              </a:solidFill>
              <a:latin typeface="Arial"/>
              <a:cs typeface="Arial"/>
            </a:rPr>
            <a:t>project", "per unit", and "per gross commercial square foot".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Column H automatically adjusts according to the text entered into column D.   Any other text entered into column D will yield a null value in Column H.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letcher/OneDrive%20-%20New%20York%20State%20Office%20of%20Information%20Technology%20Services/Participation%20Loan%20Program/Clinton%20Ave%20Albany/Credit%20Committee%20Materials/523-525%20Clinton%20Ave%20et%20al%20FINAL%200521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READ FIRST"/>
      <sheetName val="Project Information"/>
      <sheetName val="SD_Dropdowns"/>
      <sheetName val="HFA Board Attachment A"/>
      <sheetName val="Revenue"/>
      <sheetName val="Operating Expenses "/>
      <sheetName val="Development Budget"/>
      <sheetName val="Tax Credit Analysis"/>
      <sheetName val="Financing Assumptions"/>
      <sheetName val="Sources and Uses"/>
      <sheetName val="Cash Flow Proforma"/>
      <sheetName val="AC"/>
      <sheetName val="Construction Interest"/>
      <sheetName val="Perm 1st Mtg Amort"/>
      <sheetName val="HFA Fee Schedule"/>
      <sheetName val="Builder Risk Calulation"/>
      <sheetName val="Additional Building Info"/>
      <sheetName val="MWBE Cost Analysis"/>
      <sheetName val="Closing Requisition"/>
      <sheetName val="Fees"/>
      <sheetName val="HFA Loan Servicing SU Compare"/>
      <sheetName val="SONYMA MIF IE Cert"/>
      <sheetName val="SONYMA MIF Rent Achievement"/>
      <sheetName val="HFA Loan Servicing Clsg Invoice"/>
      <sheetName val="LIST DATA-INTERNAL USE ONLY"/>
    </sheetNames>
    <sheetDataSet>
      <sheetData sheetId="0"/>
      <sheetData sheetId="1"/>
      <sheetData sheetId="2"/>
      <sheetData sheetId="3"/>
      <sheetData sheetId="4">
        <row r="9">
          <cell r="C9">
            <v>24554</v>
          </cell>
        </row>
        <row r="14">
          <cell r="J14">
            <v>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C15">
            <v>0</v>
          </cell>
        </row>
        <row r="50">
          <cell r="C50">
            <v>0.01</v>
          </cell>
        </row>
        <row r="51">
          <cell r="C51">
            <v>1.2500000000000001E-2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zoomScale="70" zoomScaleNormal="70" zoomScalePageLayoutView="70" workbookViewId="0">
      <selection activeCell="D35" sqref="D35"/>
    </sheetView>
  </sheetViews>
  <sheetFormatPr baseColWidth="10" defaultColWidth="11.5" defaultRowHeight="15" outlineLevelRow="1" x14ac:dyDescent="0"/>
  <cols>
    <col min="1" max="1" width="17.5" style="42" customWidth="1"/>
    <col min="2" max="2" width="7.33203125" style="42" customWidth="1"/>
    <col min="3" max="3" width="13.33203125" style="42" customWidth="1"/>
    <col min="4" max="4" width="15.6640625" style="42" customWidth="1"/>
    <col min="5" max="5" width="17.6640625" style="42" customWidth="1"/>
    <col min="6" max="6" width="14.6640625" style="42" customWidth="1"/>
    <col min="7" max="7" width="15.1640625" style="42" customWidth="1"/>
    <col min="8" max="8" width="16.6640625" style="42" customWidth="1"/>
    <col min="9" max="9" width="13.5" style="42" customWidth="1"/>
    <col min="10" max="10" width="13.33203125" style="42" customWidth="1"/>
    <col min="11" max="11" width="15.1640625" style="42" customWidth="1"/>
    <col min="12" max="12" width="13.83203125" style="42" customWidth="1"/>
    <col min="13" max="13" width="15.5" style="42" customWidth="1"/>
    <col min="14" max="14" width="13.5" style="42" customWidth="1"/>
    <col min="15" max="15" width="17.1640625" style="42" customWidth="1"/>
    <col min="16" max="16" width="17.6640625" style="42" customWidth="1"/>
    <col min="17" max="17" width="6.83203125" style="42" customWidth="1"/>
    <col min="18" max="16384" width="11.5" style="42"/>
  </cols>
  <sheetData>
    <row r="1" spans="1:23">
      <c r="A1" s="35" t="s">
        <v>192</v>
      </c>
      <c r="B1" s="260"/>
      <c r="C1" s="260"/>
      <c r="D1" s="4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9" t="s">
        <v>15</v>
      </c>
      <c r="Q1" s="261">
        <f>E14</f>
        <v>0</v>
      </c>
    </row>
    <row r="2" spans="1:23">
      <c r="A2" s="43" t="s">
        <v>193</v>
      </c>
      <c r="B2" s="38"/>
      <c r="C2" s="38"/>
      <c r="D2" s="43"/>
      <c r="E2" s="36"/>
      <c r="F2" s="36"/>
      <c r="G2" s="36"/>
      <c r="H2" s="36"/>
      <c r="I2" s="36"/>
      <c r="J2" s="38"/>
      <c r="K2" s="261"/>
      <c r="L2" s="36"/>
      <c r="M2" s="36"/>
      <c r="N2" s="36"/>
      <c r="O2" s="36"/>
      <c r="P2" s="36"/>
      <c r="Q2" s="36"/>
    </row>
    <row r="3" spans="1:23" ht="16" thickBot="1">
      <c r="A3" s="43"/>
      <c r="B3" s="38"/>
      <c r="C3" s="38"/>
      <c r="D3" s="43"/>
      <c r="E3" s="36"/>
      <c r="F3" s="36"/>
      <c r="G3" s="36"/>
      <c r="H3" s="36"/>
      <c r="I3" s="36"/>
      <c r="J3" s="38"/>
      <c r="K3" s="261"/>
      <c r="L3" s="36"/>
      <c r="M3" s="36"/>
      <c r="N3" s="36"/>
      <c r="O3" s="36"/>
      <c r="P3" s="36"/>
      <c r="Q3" s="36"/>
    </row>
    <row r="4" spans="1:23">
      <c r="A4" s="36"/>
      <c r="B4" s="36"/>
      <c r="C4" s="262" t="s">
        <v>138</v>
      </c>
      <c r="D4" s="263"/>
      <c r="E4" s="264"/>
      <c r="F4" s="265"/>
      <c r="G4" s="266"/>
      <c r="H4" s="267"/>
      <c r="I4" s="36"/>
      <c r="J4" s="36"/>
      <c r="K4" s="36"/>
      <c r="L4" s="36"/>
    </row>
    <row r="5" spans="1:23" ht="17.25" customHeight="1">
      <c r="A5" s="36"/>
      <c r="B5" s="36"/>
      <c r="C5" s="269"/>
      <c r="D5" s="270"/>
      <c r="E5" s="271"/>
      <c r="F5" s="271"/>
      <c r="G5" s="271"/>
      <c r="H5" s="272"/>
      <c r="I5" s="36"/>
      <c r="J5" s="36"/>
      <c r="K5" s="36"/>
      <c r="L5" s="36"/>
    </row>
    <row r="6" spans="1:23" ht="15" customHeight="1">
      <c r="A6" s="36"/>
      <c r="B6" s="36"/>
      <c r="C6" s="54"/>
      <c r="D6" s="9"/>
      <c r="E6" s="273" t="s">
        <v>139</v>
      </c>
      <c r="F6" s="273" t="s">
        <v>140</v>
      </c>
      <c r="G6" s="273" t="s">
        <v>141</v>
      </c>
      <c r="H6" s="274" t="s">
        <v>142</v>
      </c>
      <c r="I6" s="36"/>
      <c r="J6" s="36"/>
      <c r="K6" s="36"/>
      <c r="L6" s="36"/>
    </row>
    <row r="7" spans="1:23" ht="15" customHeight="1">
      <c r="A7" s="36"/>
      <c r="B7" s="36"/>
      <c r="C7" s="54"/>
      <c r="D7" s="9"/>
      <c r="E7" s="273"/>
      <c r="F7" s="273"/>
      <c r="G7" s="273"/>
      <c r="H7" s="274"/>
      <c r="I7" s="36"/>
      <c r="J7" s="36"/>
      <c r="K7" s="36"/>
      <c r="L7" s="36"/>
    </row>
    <row r="8" spans="1:23">
      <c r="A8" s="36"/>
      <c r="B8" s="36"/>
      <c r="C8" s="275" t="s">
        <v>143</v>
      </c>
      <c r="D8" s="162"/>
      <c r="E8" s="268">
        <f>SUM(G20,G24,G28,G32)</f>
        <v>0</v>
      </c>
      <c r="F8" s="276">
        <v>2</v>
      </c>
      <c r="G8" s="276">
        <f>F8*E8</f>
        <v>0</v>
      </c>
      <c r="H8" s="277" t="e">
        <f>(SUM(I20,I24,I28,I32))/E8</f>
        <v>#DIV/0!</v>
      </c>
      <c r="I8" s="36"/>
      <c r="J8" s="36"/>
      <c r="K8" s="36"/>
      <c r="L8" s="36"/>
    </row>
    <row r="9" spans="1:23">
      <c r="A9" s="36"/>
      <c r="B9" s="36"/>
      <c r="C9" s="275" t="s">
        <v>144</v>
      </c>
      <c r="D9" s="162"/>
      <c r="E9" s="268">
        <f>SUM(G21,G25,G29,G33)</f>
        <v>0</v>
      </c>
      <c r="F9" s="276">
        <v>3</v>
      </c>
      <c r="G9" s="276">
        <f>E9*F9</f>
        <v>0</v>
      </c>
      <c r="H9" s="277" t="e">
        <f>(SUM(I21,I25,I29,I33))/E9</f>
        <v>#DIV/0!</v>
      </c>
      <c r="I9" s="36"/>
      <c r="J9" s="36"/>
      <c r="K9" s="36"/>
      <c r="L9" s="36"/>
    </row>
    <row r="10" spans="1:23">
      <c r="A10" s="36"/>
      <c r="B10" s="36"/>
      <c r="C10" s="275" t="s">
        <v>145</v>
      </c>
      <c r="D10" s="162"/>
      <c r="E10" s="268">
        <f>SUM(G22,G26,G30,G34)</f>
        <v>0</v>
      </c>
      <c r="F10" s="276">
        <v>4</v>
      </c>
      <c r="G10" s="278">
        <f>E10*F10</f>
        <v>0</v>
      </c>
      <c r="H10" s="277" t="e">
        <f>(SUM(I22,I26,I30,I34))/E10</f>
        <v>#DIV/0!</v>
      </c>
      <c r="I10" s="36"/>
      <c r="J10" s="36"/>
      <c r="K10" s="36"/>
      <c r="L10" s="36"/>
    </row>
    <row r="11" spans="1:23">
      <c r="A11" s="36"/>
      <c r="B11" s="36"/>
      <c r="C11" s="275" t="s">
        <v>146</v>
      </c>
      <c r="D11" s="162"/>
      <c r="E11" s="268">
        <f>SUM(G23,G27,G31,G35)</f>
        <v>0</v>
      </c>
      <c r="F11" s="276">
        <v>5</v>
      </c>
      <c r="G11" s="278">
        <f>F11*E11</f>
        <v>0</v>
      </c>
      <c r="H11" s="277" t="e">
        <f>(SUM(I23,I27,I31,I35))/E11</f>
        <v>#DIV/0!</v>
      </c>
      <c r="I11" s="36"/>
      <c r="J11" s="36"/>
      <c r="K11" s="36"/>
      <c r="L11" s="36"/>
    </row>
    <row r="12" spans="1:23">
      <c r="A12" s="36"/>
      <c r="B12" s="36"/>
      <c r="C12" s="281" t="s">
        <v>147</v>
      </c>
      <c r="D12" s="282"/>
      <c r="E12" s="283">
        <f>SUM(E8:E11)</f>
        <v>0</v>
      </c>
      <c r="F12" s="283"/>
      <c r="G12" s="283">
        <f>SUM(G8:G11)</f>
        <v>0</v>
      </c>
      <c r="H12" s="280"/>
      <c r="I12" s="36"/>
      <c r="J12" s="36"/>
      <c r="K12" s="36"/>
      <c r="L12" s="36"/>
    </row>
    <row r="13" spans="1:23">
      <c r="A13" s="36"/>
      <c r="B13" s="36"/>
      <c r="C13" s="275" t="s">
        <v>148</v>
      </c>
      <c r="D13" s="162"/>
      <c r="E13" s="284">
        <v>0</v>
      </c>
      <c r="F13" s="284">
        <v>0</v>
      </c>
      <c r="G13" s="285">
        <f>F13*E13</f>
        <v>0</v>
      </c>
      <c r="H13" s="286">
        <v>0</v>
      </c>
      <c r="I13" s="36"/>
      <c r="J13" s="36"/>
      <c r="K13" s="36"/>
      <c r="L13" s="36"/>
    </row>
    <row r="14" spans="1:23" ht="16" thickBot="1">
      <c r="A14" s="36"/>
      <c r="B14" s="36"/>
      <c r="C14" s="287" t="s">
        <v>149</v>
      </c>
      <c r="D14" s="288"/>
      <c r="E14" s="289">
        <f>E13+E12</f>
        <v>0</v>
      </c>
      <c r="F14" s="393"/>
      <c r="G14" s="289">
        <f>SUM(G12:G13)</f>
        <v>0</v>
      </c>
      <c r="H14" s="290" t="e">
        <f>E8*H8+E9*H9+E10*H10+E11*H11+E13*H13</f>
        <v>#DIV/0!</v>
      </c>
      <c r="I14" s="36"/>
      <c r="J14" s="36"/>
      <c r="K14" s="36"/>
      <c r="L14" s="36"/>
    </row>
    <row r="15" spans="1:23">
      <c r="A15" s="36"/>
      <c r="B15" s="36"/>
      <c r="C15" s="36"/>
      <c r="D15" s="36"/>
      <c r="E15" s="291"/>
      <c r="F15" s="291"/>
      <c r="G15" s="36"/>
      <c r="H15" s="43"/>
      <c r="I15" s="43"/>
      <c r="J15" s="43"/>
      <c r="K15" s="36"/>
      <c r="L15" s="36"/>
      <c r="M15" s="36"/>
      <c r="N15" s="36"/>
      <c r="O15" s="36"/>
      <c r="P15" s="36"/>
      <c r="Q15" s="36"/>
    </row>
    <row r="16" spans="1:23" ht="24" customHeight="1">
      <c r="A16" s="36"/>
      <c r="B16" s="36"/>
      <c r="C16" s="36"/>
      <c r="D16" s="36"/>
      <c r="E16" s="291"/>
      <c r="F16" s="291"/>
      <c r="G16" s="291"/>
      <c r="H16" s="43"/>
      <c r="I16" s="43"/>
      <c r="J16" s="43"/>
      <c r="K16" s="36"/>
      <c r="L16" s="36"/>
      <c r="M16" s="36"/>
      <c r="N16" s="36"/>
      <c r="O16" s="36"/>
      <c r="P16" s="36"/>
      <c r="Q16" s="36"/>
      <c r="R16" s="292"/>
      <c r="S16" s="293"/>
      <c r="T16" s="294"/>
      <c r="U16" s="295"/>
      <c r="W16" s="296"/>
    </row>
    <row r="17" spans="1:23" ht="16" thickBot="1">
      <c r="A17" s="36"/>
      <c r="B17" s="36"/>
      <c r="C17" s="36"/>
      <c r="D17" s="36"/>
      <c r="E17" s="291"/>
      <c r="F17" s="291"/>
      <c r="G17" s="378"/>
      <c r="H17" s="378"/>
      <c r="I17" s="378"/>
      <c r="J17" s="378"/>
      <c r="K17" s="378"/>
      <c r="L17" s="377"/>
      <c r="M17" s="380"/>
      <c r="N17" s="380"/>
      <c r="O17" s="300"/>
      <c r="P17"/>
      <c r="S17" s="282"/>
      <c r="T17" s="2"/>
      <c r="U17" s="2"/>
      <c r="V17" s="2"/>
      <c r="W17" s="177"/>
    </row>
    <row r="18" spans="1:23">
      <c r="A18" s="297"/>
      <c r="B18" s="298"/>
      <c r="C18" s="298"/>
      <c r="D18" s="298"/>
      <c r="E18" s="299"/>
      <c r="F18" s="299"/>
      <c r="G18" s="376"/>
      <c r="H18" s="376"/>
      <c r="I18" s="376"/>
      <c r="J18" s="376"/>
      <c r="K18" s="376"/>
      <c r="L18" s="36"/>
      <c r="M18"/>
      <c r="N18"/>
    </row>
    <row r="19" spans="1:23" ht="31" thickBot="1">
      <c r="A19" s="301" t="s">
        <v>150</v>
      </c>
      <c r="B19" s="302" t="s">
        <v>151</v>
      </c>
      <c r="C19" s="303" t="s">
        <v>152</v>
      </c>
      <c r="D19" s="304" t="s">
        <v>241</v>
      </c>
      <c r="E19" s="304" t="s">
        <v>153</v>
      </c>
      <c r="F19" s="304" t="s">
        <v>198</v>
      </c>
      <c r="G19" s="304" t="s">
        <v>154</v>
      </c>
      <c r="H19" s="304" t="s">
        <v>155</v>
      </c>
      <c r="I19" s="304" t="s">
        <v>156</v>
      </c>
      <c r="J19" s="304" t="s">
        <v>200</v>
      </c>
      <c r="K19" s="305" t="s">
        <v>196</v>
      </c>
      <c r="L19" s="36"/>
      <c r="M19"/>
      <c r="N19"/>
    </row>
    <row r="20" spans="1:23">
      <c r="A20" s="306" t="s">
        <v>143</v>
      </c>
      <c r="B20" s="307">
        <f t="shared" ref="B20:B35" si="0">IF(A20="Studio",2, IF(A20="1BR",3, IF(A20="2BR",4, IF(A20="3BR",5, IF(A20="4BR",6)))))</f>
        <v>2</v>
      </c>
      <c r="C20" s="489" t="s">
        <v>238</v>
      </c>
      <c r="D20" s="308"/>
      <c r="E20" s="309" t="s">
        <v>157</v>
      </c>
      <c r="F20" s="279" t="s">
        <v>194</v>
      </c>
      <c r="G20" s="268"/>
      <c r="H20" s="310"/>
      <c r="I20" s="213">
        <f t="shared" ref="I20:I35" si="1">G20*H20</f>
        <v>0</v>
      </c>
      <c r="J20" s="374"/>
      <c r="K20" s="79">
        <f t="shared" ref="K20:K35" si="2">J20*G20</f>
        <v>0</v>
      </c>
      <c r="L20" s="36"/>
      <c r="M20"/>
      <c r="N20"/>
    </row>
    <row r="21" spans="1:23" ht="16.5" customHeight="1">
      <c r="A21" s="306" t="s">
        <v>158</v>
      </c>
      <c r="B21" s="307">
        <f t="shared" si="0"/>
        <v>3</v>
      </c>
      <c r="C21" s="489" t="s">
        <v>238</v>
      </c>
      <c r="D21" s="308"/>
      <c r="E21" s="309" t="s">
        <v>157</v>
      </c>
      <c r="F21" s="279" t="s">
        <v>194</v>
      </c>
      <c r="G21" s="268"/>
      <c r="H21" s="310"/>
      <c r="I21" s="213">
        <f t="shared" si="1"/>
        <v>0</v>
      </c>
      <c r="J21" s="374"/>
      <c r="K21" s="79">
        <f t="shared" si="2"/>
        <v>0</v>
      </c>
      <c r="L21" s="36"/>
      <c r="M21"/>
      <c r="N21"/>
    </row>
    <row r="22" spans="1:23">
      <c r="A22" s="306" t="s">
        <v>159</v>
      </c>
      <c r="B22" s="307">
        <f t="shared" si="0"/>
        <v>4</v>
      </c>
      <c r="C22" s="489" t="s">
        <v>238</v>
      </c>
      <c r="D22" s="308"/>
      <c r="E22" s="309" t="s">
        <v>157</v>
      </c>
      <c r="F22" s="279" t="s">
        <v>194</v>
      </c>
      <c r="G22" s="268"/>
      <c r="H22" s="310"/>
      <c r="I22" s="213">
        <f t="shared" si="1"/>
        <v>0</v>
      </c>
      <c r="J22" s="374"/>
      <c r="K22" s="79">
        <f t="shared" si="2"/>
        <v>0</v>
      </c>
      <c r="L22" s="36"/>
      <c r="M22"/>
      <c r="N22"/>
    </row>
    <row r="23" spans="1:23">
      <c r="A23" s="306" t="s">
        <v>195</v>
      </c>
      <c r="B23" s="307">
        <f t="shared" si="0"/>
        <v>5</v>
      </c>
      <c r="C23" s="489" t="s">
        <v>238</v>
      </c>
      <c r="D23" s="308"/>
      <c r="E23" s="309" t="s">
        <v>157</v>
      </c>
      <c r="F23" s="279" t="s">
        <v>194</v>
      </c>
      <c r="G23" s="268"/>
      <c r="H23" s="310"/>
      <c r="I23" s="213">
        <f t="shared" si="1"/>
        <v>0</v>
      </c>
      <c r="J23" s="374"/>
      <c r="K23" s="79">
        <f t="shared" si="2"/>
        <v>0</v>
      </c>
      <c r="L23" s="36"/>
      <c r="M23"/>
      <c r="N23"/>
    </row>
    <row r="24" spans="1:23">
      <c r="A24" s="306" t="s">
        <v>143</v>
      </c>
      <c r="B24" s="307">
        <f t="shared" si="0"/>
        <v>2</v>
      </c>
      <c r="C24" s="489" t="s">
        <v>239</v>
      </c>
      <c r="D24" s="308"/>
      <c r="E24" s="309" t="s">
        <v>157</v>
      </c>
      <c r="F24" s="279" t="s">
        <v>194</v>
      </c>
      <c r="G24" s="268"/>
      <c r="H24" s="310"/>
      <c r="I24" s="213">
        <f t="shared" si="1"/>
        <v>0</v>
      </c>
      <c r="J24" s="374"/>
      <c r="K24" s="79">
        <f t="shared" si="2"/>
        <v>0</v>
      </c>
      <c r="L24" s="36"/>
      <c r="M24"/>
      <c r="N24"/>
    </row>
    <row r="25" spans="1:23">
      <c r="A25" s="306" t="s">
        <v>158</v>
      </c>
      <c r="B25" s="307">
        <f t="shared" si="0"/>
        <v>3</v>
      </c>
      <c r="C25" s="489" t="s">
        <v>239</v>
      </c>
      <c r="D25" s="308"/>
      <c r="E25" s="309" t="s">
        <v>157</v>
      </c>
      <c r="F25" s="279" t="s">
        <v>194</v>
      </c>
      <c r="G25" s="268"/>
      <c r="H25" s="310"/>
      <c r="I25" s="213">
        <f t="shared" si="1"/>
        <v>0</v>
      </c>
      <c r="J25" s="374"/>
      <c r="K25" s="79">
        <f t="shared" si="2"/>
        <v>0</v>
      </c>
      <c r="L25" s="36"/>
      <c r="M25"/>
      <c r="N25"/>
    </row>
    <row r="26" spans="1:23">
      <c r="A26" s="306" t="s">
        <v>159</v>
      </c>
      <c r="B26" s="307">
        <f t="shared" si="0"/>
        <v>4</v>
      </c>
      <c r="C26" s="489" t="s">
        <v>239</v>
      </c>
      <c r="D26" s="308"/>
      <c r="E26" s="309" t="s">
        <v>157</v>
      </c>
      <c r="F26" s="279" t="s">
        <v>194</v>
      </c>
      <c r="G26" s="268"/>
      <c r="H26" s="310"/>
      <c r="I26" s="213">
        <f t="shared" si="1"/>
        <v>0</v>
      </c>
      <c r="J26" s="374"/>
      <c r="K26" s="79">
        <f t="shared" si="2"/>
        <v>0</v>
      </c>
      <c r="L26" s="36"/>
      <c r="M26"/>
      <c r="N26"/>
    </row>
    <row r="27" spans="1:23">
      <c r="A27" s="306" t="s">
        <v>195</v>
      </c>
      <c r="B27" s="307">
        <f t="shared" si="0"/>
        <v>5</v>
      </c>
      <c r="C27" s="489" t="s">
        <v>239</v>
      </c>
      <c r="D27" s="308"/>
      <c r="E27" s="309" t="s">
        <v>157</v>
      </c>
      <c r="F27" s="279" t="s">
        <v>194</v>
      </c>
      <c r="G27" s="268"/>
      <c r="H27" s="310"/>
      <c r="I27" s="213">
        <f t="shared" si="1"/>
        <v>0</v>
      </c>
      <c r="J27" s="374"/>
      <c r="K27" s="79">
        <f t="shared" si="2"/>
        <v>0</v>
      </c>
      <c r="L27" s="36"/>
      <c r="M27"/>
      <c r="N27"/>
    </row>
    <row r="28" spans="1:23">
      <c r="A28" s="306" t="s">
        <v>143</v>
      </c>
      <c r="B28" s="307">
        <f t="shared" si="0"/>
        <v>2</v>
      </c>
      <c r="C28" s="489" t="s">
        <v>240</v>
      </c>
      <c r="D28" s="308"/>
      <c r="E28" s="309" t="s">
        <v>157</v>
      </c>
      <c r="F28" s="279" t="s">
        <v>194</v>
      </c>
      <c r="G28" s="268"/>
      <c r="H28" s="310"/>
      <c r="I28" s="213">
        <f t="shared" si="1"/>
        <v>0</v>
      </c>
      <c r="J28" s="374"/>
      <c r="K28" s="79">
        <f t="shared" si="2"/>
        <v>0</v>
      </c>
      <c r="L28" s="36"/>
      <c r="M28"/>
      <c r="N28"/>
    </row>
    <row r="29" spans="1:23">
      <c r="A29" s="306" t="s">
        <v>158</v>
      </c>
      <c r="B29" s="307">
        <f t="shared" si="0"/>
        <v>3</v>
      </c>
      <c r="C29" s="489" t="s">
        <v>240</v>
      </c>
      <c r="D29" s="308"/>
      <c r="E29" s="309" t="s">
        <v>157</v>
      </c>
      <c r="F29" s="279" t="s">
        <v>194</v>
      </c>
      <c r="G29" s="268"/>
      <c r="H29" s="310"/>
      <c r="I29" s="213">
        <f t="shared" si="1"/>
        <v>0</v>
      </c>
      <c r="J29" s="374"/>
      <c r="K29" s="79">
        <f t="shared" si="2"/>
        <v>0</v>
      </c>
      <c r="L29" s="36"/>
      <c r="M29"/>
      <c r="N29"/>
    </row>
    <row r="30" spans="1:23">
      <c r="A30" s="306" t="s">
        <v>159</v>
      </c>
      <c r="B30" s="307">
        <f t="shared" si="0"/>
        <v>4</v>
      </c>
      <c r="C30" s="489" t="s">
        <v>240</v>
      </c>
      <c r="D30" s="308"/>
      <c r="E30" s="309" t="s">
        <v>157</v>
      </c>
      <c r="F30" s="279" t="s">
        <v>194</v>
      </c>
      <c r="G30" s="268"/>
      <c r="H30" s="310"/>
      <c r="I30" s="213">
        <f t="shared" si="1"/>
        <v>0</v>
      </c>
      <c r="J30" s="374"/>
      <c r="K30" s="79">
        <f t="shared" si="2"/>
        <v>0</v>
      </c>
      <c r="L30" s="36"/>
      <c r="M30"/>
      <c r="N30"/>
    </row>
    <row r="31" spans="1:23">
      <c r="A31" s="306" t="s">
        <v>195</v>
      </c>
      <c r="B31" s="307">
        <f t="shared" si="0"/>
        <v>5</v>
      </c>
      <c r="C31" s="489" t="s">
        <v>240</v>
      </c>
      <c r="D31" s="308"/>
      <c r="E31" s="309" t="s">
        <v>157</v>
      </c>
      <c r="F31" s="279" t="s">
        <v>194</v>
      </c>
      <c r="G31" s="268"/>
      <c r="H31" s="310"/>
      <c r="I31" s="213">
        <f t="shared" si="1"/>
        <v>0</v>
      </c>
      <c r="J31" s="374"/>
      <c r="K31" s="79">
        <f t="shared" si="2"/>
        <v>0</v>
      </c>
      <c r="L31" s="36"/>
      <c r="M31"/>
      <c r="N31"/>
    </row>
    <row r="32" spans="1:23">
      <c r="A32" s="306" t="s">
        <v>143</v>
      </c>
      <c r="B32" s="307">
        <f t="shared" si="0"/>
        <v>2</v>
      </c>
      <c r="C32" s="375" t="s">
        <v>199</v>
      </c>
      <c r="D32" s="308"/>
      <c r="E32" s="309" t="s">
        <v>157</v>
      </c>
      <c r="F32" s="279" t="s">
        <v>194</v>
      </c>
      <c r="G32" s="268"/>
      <c r="H32" s="310"/>
      <c r="I32" s="213">
        <f t="shared" si="1"/>
        <v>0</v>
      </c>
      <c r="J32" s="374"/>
      <c r="K32" s="79">
        <f t="shared" si="2"/>
        <v>0</v>
      </c>
      <c r="L32" s="36"/>
      <c r="M32"/>
      <c r="N32"/>
    </row>
    <row r="33" spans="1:24">
      <c r="A33" s="306" t="s">
        <v>158</v>
      </c>
      <c r="B33" s="307">
        <f t="shared" si="0"/>
        <v>3</v>
      </c>
      <c r="C33" s="375" t="s">
        <v>199</v>
      </c>
      <c r="D33" s="308"/>
      <c r="E33" s="309" t="s">
        <v>157</v>
      </c>
      <c r="F33" s="279" t="s">
        <v>194</v>
      </c>
      <c r="G33" s="268"/>
      <c r="H33" s="310"/>
      <c r="I33" s="213">
        <f t="shared" si="1"/>
        <v>0</v>
      </c>
      <c r="J33" s="374"/>
      <c r="K33" s="79">
        <f t="shared" si="2"/>
        <v>0</v>
      </c>
      <c r="L33" s="36"/>
      <c r="M33"/>
      <c r="N33"/>
    </row>
    <row r="34" spans="1:24">
      <c r="A34" s="306" t="s">
        <v>159</v>
      </c>
      <c r="B34" s="307">
        <f t="shared" si="0"/>
        <v>4</v>
      </c>
      <c r="C34" s="375" t="s">
        <v>199</v>
      </c>
      <c r="D34" s="308"/>
      <c r="E34" s="309" t="s">
        <v>157</v>
      </c>
      <c r="F34" s="279" t="s">
        <v>194</v>
      </c>
      <c r="G34" s="268"/>
      <c r="H34" s="310"/>
      <c r="I34" s="213">
        <f t="shared" si="1"/>
        <v>0</v>
      </c>
      <c r="J34" s="374"/>
      <c r="K34" s="79">
        <f t="shared" si="2"/>
        <v>0</v>
      </c>
      <c r="L34" s="36"/>
      <c r="M34"/>
      <c r="N34"/>
    </row>
    <row r="35" spans="1:24">
      <c r="A35" s="306" t="s">
        <v>195</v>
      </c>
      <c r="B35" s="307">
        <f t="shared" si="0"/>
        <v>5</v>
      </c>
      <c r="C35" s="375" t="s">
        <v>199</v>
      </c>
      <c r="D35" s="308"/>
      <c r="E35" s="309" t="s">
        <v>157</v>
      </c>
      <c r="F35" s="279" t="s">
        <v>194</v>
      </c>
      <c r="G35" s="268"/>
      <c r="H35" s="310"/>
      <c r="I35" s="213">
        <f t="shared" si="1"/>
        <v>0</v>
      </c>
      <c r="J35" s="374"/>
      <c r="K35" s="79">
        <f t="shared" si="2"/>
        <v>0</v>
      </c>
      <c r="L35" s="36"/>
      <c r="M35"/>
      <c r="N35"/>
    </row>
    <row r="36" spans="1:24">
      <c r="A36" s="398"/>
      <c r="B36" s="399"/>
      <c r="C36" s="400"/>
      <c r="D36" s="401"/>
      <c r="E36" s="402"/>
      <c r="F36" s="403"/>
      <c r="G36" s="404"/>
      <c r="H36" s="405"/>
      <c r="I36" s="213"/>
      <c r="J36" s="311"/>
      <c r="K36" s="79"/>
      <c r="L36" s="36"/>
      <c r="M36"/>
      <c r="N36"/>
    </row>
    <row r="37" spans="1:24">
      <c r="A37" s="398"/>
      <c r="B37" s="399"/>
      <c r="C37" s="400"/>
      <c r="D37" s="401"/>
      <c r="E37" s="402"/>
      <c r="F37" s="403"/>
      <c r="G37" s="404"/>
      <c r="H37" s="405"/>
      <c r="I37" s="213"/>
      <c r="J37" s="311"/>
      <c r="K37" s="79"/>
      <c r="L37" s="381"/>
      <c r="M37" s="36"/>
      <c r="N37" s="36"/>
      <c r="O37" s="36"/>
      <c r="P37" s="36"/>
      <c r="Q37" s="36"/>
    </row>
    <row r="38" spans="1:24">
      <c r="A38" s="398"/>
      <c r="B38" s="399"/>
      <c r="C38" s="406"/>
      <c r="D38" s="401"/>
      <c r="E38" s="402"/>
      <c r="F38" s="403"/>
      <c r="G38" s="404"/>
      <c r="H38" s="493" t="s">
        <v>197</v>
      </c>
      <c r="I38" s="494"/>
      <c r="J38" s="494"/>
      <c r="K38" s="407">
        <f>SUM(K20:K35)</f>
        <v>0</v>
      </c>
      <c r="L38" s="36"/>
      <c r="M38" s="314"/>
      <c r="N38" s="135"/>
      <c r="O38" s="36"/>
      <c r="P38" s="135"/>
      <c r="Q38" s="36"/>
      <c r="S38" s="312"/>
      <c r="T38" s="293"/>
      <c r="U38" s="294"/>
      <c r="V38" s="295"/>
      <c r="X38" s="296"/>
    </row>
    <row r="39" spans="1:24" ht="16" thickBot="1">
      <c r="A39" s="39"/>
      <c r="B39" s="39"/>
      <c r="C39" s="39"/>
      <c r="D39" s="39"/>
      <c r="E39" s="291"/>
      <c r="F39" s="291"/>
      <c r="G39" s="396"/>
      <c r="H39" s="396"/>
      <c r="I39" s="378"/>
      <c r="J39" s="378"/>
      <c r="K39" s="397"/>
      <c r="L39" s="36"/>
      <c r="M39" s="382"/>
      <c r="N39" s="383"/>
      <c r="O39" s="384"/>
      <c r="P39" s="385"/>
      <c r="Q39" s="36"/>
    </row>
    <row r="40" spans="1:24" s="318" customFormat="1" ht="28.5" customHeight="1">
      <c r="A40" s="297" t="s">
        <v>160</v>
      </c>
      <c r="B40" s="298"/>
      <c r="C40" s="298"/>
      <c r="D40" s="298"/>
      <c r="E40" s="313"/>
      <c r="F40" s="299"/>
      <c r="G40" s="497" t="s">
        <v>205</v>
      </c>
      <c r="H40" s="498"/>
      <c r="I40" s="498"/>
      <c r="J40" s="499">
        <f>('Development Budget'!D79-Revenue!K38)</f>
        <v>0</v>
      </c>
      <c r="K40" s="500"/>
      <c r="L40" s="430"/>
      <c r="M40" s="319"/>
      <c r="N40" s="324"/>
      <c r="O40" s="325"/>
      <c r="P40" s="326"/>
      <c r="Q40" s="135"/>
      <c r="R40" s="36"/>
      <c r="S40" s="42"/>
    </row>
    <row r="41" spans="1:24" ht="22.5" customHeight="1">
      <c r="A41" s="315"/>
      <c r="B41" s="316"/>
      <c r="C41" s="317" t="s">
        <v>161</v>
      </c>
      <c r="D41" s="317" t="s">
        <v>162</v>
      </c>
      <c r="E41" s="317" t="s">
        <v>163</v>
      </c>
      <c r="F41" s="318"/>
      <c r="G41" s="495" t="s">
        <v>206</v>
      </c>
      <c r="H41" s="496"/>
      <c r="I41" s="496"/>
      <c r="J41" s="501" t="e">
        <f>J40/SUM(Revenue!G20:G31)</f>
        <v>#DIV/0!</v>
      </c>
      <c r="K41" s="502"/>
      <c r="L41" s="395"/>
      <c r="M41" s="324"/>
      <c r="N41" s="325"/>
      <c r="O41" s="326"/>
      <c r="P41" s="135"/>
      <c r="Q41" s="330"/>
    </row>
    <row r="42" spans="1:24">
      <c r="A42" s="320" t="s">
        <v>164</v>
      </c>
      <c r="B42" s="321"/>
      <c r="C42" s="284"/>
      <c r="D42" s="322">
        <v>0</v>
      </c>
      <c r="E42" s="323">
        <f>C42*D42*12</f>
        <v>0</v>
      </c>
      <c r="I42" s="395"/>
      <c r="J42" s="395"/>
      <c r="K42" s="395"/>
      <c r="L42" s="395"/>
      <c r="M42" s="36"/>
      <c r="N42" s="331"/>
      <c r="O42" s="331"/>
      <c r="P42" s="331"/>
      <c r="Q42" s="325"/>
      <c r="R42" s="332"/>
    </row>
    <row r="43" spans="1:24" s="318" customFormat="1" ht="15" customHeight="1">
      <c r="A43" s="275"/>
      <c r="B43" s="162"/>
      <c r="C43" s="327"/>
      <c r="D43" s="328"/>
      <c r="E43" s="329"/>
      <c r="F43" s="42"/>
      <c r="G43" s="42"/>
      <c r="H43" s="42"/>
      <c r="I43" s="395"/>
      <c r="J43" s="395"/>
      <c r="K43" s="395"/>
      <c r="L43" s="394"/>
      <c r="M43" s="335"/>
      <c r="N43" s="336"/>
      <c r="O43" s="331"/>
      <c r="P43" s="331"/>
      <c r="Q43" s="331"/>
      <c r="R43" s="337"/>
    </row>
    <row r="44" spans="1:24" ht="30">
      <c r="A44" s="315"/>
      <c r="B44" s="316"/>
      <c r="C44" s="317" t="s">
        <v>165</v>
      </c>
      <c r="D44" s="317" t="s">
        <v>166</v>
      </c>
      <c r="E44" s="317" t="s">
        <v>163</v>
      </c>
      <c r="F44" s="318"/>
      <c r="G44" s="318"/>
      <c r="H44" s="318"/>
      <c r="I44" s="394"/>
      <c r="J44" s="394"/>
      <c r="K44" s="394"/>
      <c r="L44" s="395"/>
      <c r="M44" s="335"/>
      <c r="N44" s="340"/>
      <c r="O44" s="340"/>
      <c r="P44" s="340"/>
      <c r="Q44" s="331"/>
      <c r="R44" s="337"/>
    </row>
    <row r="45" spans="1:24" ht="25.5" customHeight="1">
      <c r="A45" s="333" t="s">
        <v>167</v>
      </c>
      <c r="B45" s="321"/>
      <c r="C45" s="334">
        <v>0</v>
      </c>
      <c r="D45" s="339">
        <v>0</v>
      </c>
      <c r="E45" s="323">
        <f>D45*12</f>
        <v>0</v>
      </c>
      <c r="I45" s="395"/>
      <c r="J45" s="395"/>
      <c r="K45" s="395"/>
      <c r="L45" s="395"/>
      <c r="M45" s="335"/>
      <c r="N45" s="340"/>
      <c r="O45" s="331"/>
      <c r="P45" s="340"/>
      <c r="Q45" s="331"/>
      <c r="R45" s="337"/>
    </row>
    <row r="46" spans="1:24">
      <c r="A46" s="275"/>
      <c r="B46" s="162"/>
      <c r="C46" s="338"/>
      <c r="D46" s="311"/>
      <c r="E46" s="329"/>
      <c r="I46" s="395"/>
      <c r="J46" s="395"/>
      <c r="K46" s="395"/>
      <c r="L46" s="395"/>
      <c r="M46" s="38"/>
      <c r="N46" s="43"/>
      <c r="O46" s="43"/>
      <c r="P46" s="43"/>
      <c r="Q46" s="43"/>
      <c r="R46" s="9"/>
    </row>
    <row r="47" spans="1:24">
      <c r="A47" s="4"/>
      <c r="D47" s="341"/>
      <c r="I47" s="395"/>
      <c r="J47" s="395"/>
      <c r="K47" s="395"/>
      <c r="L47" s="395"/>
      <c r="M47" s="38"/>
      <c r="N47" s="43"/>
      <c r="O47" s="43"/>
      <c r="P47" s="43"/>
      <c r="Q47" s="43"/>
      <c r="R47" s="9"/>
    </row>
    <row r="48" spans="1:24">
      <c r="A48" s="4"/>
      <c r="C48" s="9"/>
      <c r="D48" s="282" t="s">
        <v>168</v>
      </c>
      <c r="E48" s="342">
        <f>E42+E45</f>
        <v>0</v>
      </c>
      <c r="F48" s="343"/>
      <c r="G48" s="215"/>
      <c r="I48" s="395"/>
      <c r="J48" s="395"/>
      <c r="K48" s="395"/>
      <c r="L48" s="395"/>
      <c r="M48" s="36"/>
      <c r="N48" s="36"/>
      <c r="O48" s="36"/>
      <c r="P48" s="300"/>
      <c r="Q48" s="300"/>
    </row>
    <row r="49" spans="1:12" ht="25.5" customHeight="1">
      <c r="A49" s="4"/>
      <c r="E49" s="9"/>
      <c r="F49" s="282"/>
      <c r="G49" s="282"/>
      <c r="H49" s="342"/>
      <c r="I49" s="395"/>
      <c r="J49" s="395"/>
      <c r="K49" s="395"/>
      <c r="L49" s="395"/>
    </row>
    <row r="50" spans="1:12" hidden="1" outlineLevel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2" hidden="1" outlineLevel="1">
      <c r="A51" s="344" t="s">
        <v>169</v>
      </c>
      <c r="B51" s="345"/>
      <c r="C51" s="345"/>
      <c r="D51" s="345"/>
      <c r="E51" s="345"/>
      <c r="F51" s="345"/>
      <c r="G51" s="345"/>
      <c r="H51" s="345"/>
    </row>
    <row r="52" spans="1:12" ht="17" hidden="1" outlineLevel="1">
      <c r="A52" s="346" t="s">
        <v>170</v>
      </c>
      <c r="B52" s="347"/>
      <c r="C52" s="348"/>
      <c r="D52" s="348"/>
      <c r="E52" s="348"/>
      <c r="F52" s="348"/>
      <c r="G52" s="348"/>
      <c r="H52" s="349"/>
    </row>
    <row r="53" spans="1:12" hidden="1" outlineLevel="1">
      <c r="A53" s="350"/>
      <c r="B53" s="351"/>
      <c r="C53" s="352"/>
      <c r="D53" s="352"/>
      <c r="E53" s="352"/>
      <c r="F53" s="352"/>
      <c r="G53" s="352"/>
      <c r="H53" s="353"/>
    </row>
    <row r="54" spans="1:12" hidden="1" outlineLevel="1">
      <c r="A54" s="354"/>
      <c r="B54" s="352"/>
      <c r="C54" s="352" t="s">
        <v>171</v>
      </c>
      <c r="D54" s="355"/>
      <c r="E54" s="355"/>
      <c r="F54" s="352"/>
      <c r="G54" s="352"/>
      <c r="H54" s="353"/>
    </row>
    <row r="55" spans="1:12" ht="25" hidden="1" outlineLevel="1">
      <c r="A55" s="356" t="s">
        <v>172</v>
      </c>
      <c r="B55" s="352"/>
      <c r="C55" s="357" t="s">
        <v>173</v>
      </c>
      <c r="D55" s="357" t="s">
        <v>174</v>
      </c>
      <c r="E55" s="357" t="s">
        <v>175</v>
      </c>
      <c r="F55" s="358" t="s">
        <v>176</v>
      </c>
      <c r="G55" s="358" t="s">
        <v>177</v>
      </c>
      <c r="H55" s="359" t="s">
        <v>178</v>
      </c>
    </row>
    <row r="56" spans="1:12" hidden="1" outlineLevel="1">
      <c r="A56" s="354" t="s">
        <v>179</v>
      </c>
      <c r="B56" s="352"/>
      <c r="C56" s="360" t="s">
        <v>180</v>
      </c>
      <c r="D56" s="360" t="s">
        <v>24</v>
      </c>
      <c r="E56" s="360" t="s">
        <v>24</v>
      </c>
      <c r="F56" s="360"/>
      <c r="G56" s="360"/>
      <c r="H56" s="361">
        <f>43080*12</f>
        <v>516960</v>
      </c>
    </row>
    <row r="57" spans="1:12" hidden="1" outlineLevel="1">
      <c r="A57" s="354" t="s">
        <v>181</v>
      </c>
      <c r="B57" s="352"/>
      <c r="C57" s="360">
        <v>0</v>
      </c>
      <c r="D57" s="360">
        <v>0</v>
      </c>
      <c r="E57" s="360">
        <v>0</v>
      </c>
      <c r="F57" s="360"/>
      <c r="G57" s="360"/>
      <c r="H57" s="361">
        <f>450*12</f>
        <v>5400</v>
      </c>
    </row>
    <row r="58" spans="1:12" ht="16" hidden="1" outlineLevel="1" thickBot="1">
      <c r="A58" s="354"/>
      <c r="B58" s="352"/>
      <c r="C58" s="362"/>
      <c r="D58" s="362"/>
      <c r="E58" s="362">
        <f>SUM(E56:E57)</f>
        <v>0</v>
      </c>
      <c r="F58" s="362"/>
      <c r="G58" s="362"/>
      <c r="H58" s="363">
        <f>SUM(H56:H57)</f>
        <v>522360</v>
      </c>
    </row>
    <row r="59" spans="1:12" hidden="1" outlineLevel="1">
      <c r="A59" s="356" t="s">
        <v>182</v>
      </c>
      <c r="B59" s="352"/>
      <c r="C59" s="364"/>
      <c r="D59" s="364"/>
      <c r="E59" s="364"/>
      <c r="F59" s="364"/>
      <c r="G59" s="352"/>
      <c r="H59" s="353"/>
    </row>
    <row r="60" spans="1:12" hidden="1" outlineLevel="1">
      <c r="A60" s="354" t="s">
        <v>183</v>
      </c>
      <c r="B60" s="352"/>
      <c r="C60" s="352">
        <v>59</v>
      </c>
      <c r="D60" s="352" t="s">
        <v>24</v>
      </c>
      <c r="E60" s="352" t="s">
        <v>24</v>
      </c>
      <c r="F60" s="352"/>
      <c r="G60" s="352"/>
      <c r="H60" s="353"/>
    </row>
    <row r="61" spans="1:12" hidden="1" outlineLevel="1">
      <c r="A61" s="354" t="s">
        <v>184</v>
      </c>
      <c r="B61" s="352"/>
      <c r="C61" s="352">
        <v>1</v>
      </c>
      <c r="D61" s="352" t="s">
        <v>24</v>
      </c>
      <c r="E61" s="352" t="s">
        <v>24</v>
      </c>
      <c r="F61" s="352"/>
      <c r="G61" s="352"/>
      <c r="H61" s="353"/>
    </row>
    <row r="62" spans="1:12" hidden="1" outlineLevel="1">
      <c r="A62" s="365" t="s">
        <v>185</v>
      </c>
      <c r="B62" s="352"/>
      <c r="C62" s="352">
        <v>60</v>
      </c>
      <c r="D62" s="352">
        <v>60</v>
      </c>
      <c r="E62" s="352">
        <v>60</v>
      </c>
      <c r="F62" s="352"/>
      <c r="G62" s="352"/>
      <c r="H62" s="353"/>
    </row>
    <row r="63" spans="1:12" hidden="1" outlineLevel="1">
      <c r="A63" s="365"/>
      <c r="B63" s="352"/>
      <c r="C63" s="352"/>
      <c r="D63" s="352"/>
      <c r="E63" s="352"/>
      <c r="F63" s="352"/>
      <c r="G63" s="352"/>
      <c r="H63" s="353"/>
    </row>
    <row r="64" spans="1:12" hidden="1" outlineLevel="1">
      <c r="A64" s="366" t="s">
        <v>186</v>
      </c>
      <c r="B64" s="352"/>
      <c r="C64" s="367">
        <f>C60/C62</f>
        <v>0.98333333333333328</v>
      </c>
      <c r="D64" s="367" t="e">
        <f>D60/D62</f>
        <v>#VALUE!</v>
      </c>
      <c r="E64" s="367" t="e">
        <f>E60/E62</f>
        <v>#VALUE!</v>
      </c>
      <c r="F64" s="352" t="e">
        <f>F60/F62</f>
        <v>#DIV/0!</v>
      </c>
      <c r="G64" s="352" t="e">
        <f>G60/G62</f>
        <v>#DIV/0!</v>
      </c>
      <c r="H64" s="353"/>
    </row>
    <row r="65" spans="1:8" hidden="1" outlineLevel="1">
      <c r="A65" s="368"/>
      <c r="B65" s="352"/>
      <c r="C65" s="369"/>
      <c r="D65" s="369"/>
      <c r="E65" s="369" t="s">
        <v>180</v>
      </c>
      <c r="F65" s="369" t="e">
        <f>F60/F62</f>
        <v>#DIV/0!</v>
      </c>
      <c r="G65" s="369" t="e">
        <f>G60/G62</f>
        <v>#DIV/0!</v>
      </c>
      <c r="H65" s="353"/>
    </row>
    <row r="66" spans="1:8" ht="16" hidden="1" outlineLevel="1" thickBot="1">
      <c r="A66" s="370" t="s">
        <v>24</v>
      </c>
      <c r="B66" s="371"/>
      <c r="C66" s="371"/>
      <c r="D66" s="371"/>
      <c r="E66" s="371"/>
      <c r="F66" s="371"/>
      <c r="G66" s="371"/>
      <c r="H66" s="372"/>
    </row>
    <row r="67" spans="1:8" hidden="1" outlineLevel="1">
      <c r="A67" s="352"/>
      <c r="B67" s="352"/>
      <c r="C67" s="352"/>
      <c r="D67" s="352"/>
      <c r="E67" s="352"/>
      <c r="F67" s="352"/>
      <c r="G67" s="352"/>
      <c r="H67" s="352"/>
    </row>
    <row r="68" spans="1:8" hidden="1" outlineLevel="1">
      <c r="A68" s="352"/>
      <c r="B68" s="352"/>
      <c r="C68" s="352"/>
      <c r="D68" s="352" t="s">
        <v>187</v>
      </c>
      <c r="E68" s="352" t="s">
        <v>188</v>
      </c>
      <c r="F68" s="352"/>
      <c r="G68" s="352"/>
      <c r="H68" s="352"/>
    </row>
    <row r="69" spans="1:8" hidden="1" outlineLevel="1">
      <c r="A69" s="491" t="s">
        <v>189</v>
      </c>
      <c r="B69" s="492"/>
      <c r="C69" s="492"/>
      <c r="D69" s="373">
        <f>SUM(927-59)</f>
        <v>868</v>
      </c>
      <c r="E69" s="373">
        <f>D69*12</f>
        <v>10416</v>
      </c>
      <c r="F69" s="352"/>
      <c r="G69" s="352"/>
      <c r="H69" s="352"/>
    </row>
    <row r="70" spans="1:8" hidden="1" outlineLevel="1">
      <c r="A70" s="352" t="s">
        <v>190</v>
      </c>
      <c r="B70" s="352"/>
      <c r="C70" s="352"/>
      <c r="D70" s="373">
        <v>742</v>
      </c>
      <c r="E70" s="373">
        <f>SUM(D70*54)*12</f>
        <v>480816</v>
      </c>
      <c r="F70" s="352"/>
      <c r="G70" s="352"/>
      <c r="H70" s="352"/>
    </row>
    <row r="71" spans="1:8" hidden="1" outlineLevel="1">
      <c r="A71" s="352" t="s">
        <v>191</v>
      </c>
      <c r="B71" s="352"/>
      <c r="C71" s="352"/>
      <c r="D71" s="373">
        <v>905</v>
      </c>
      <c r="E71" s="373">
        <f>SUM(D71*5)*12</f>
        <v>54300</v>
      </c>
      <c r="F71" s="352"/>
      <c r="G71" s="352"/>
      <c r="H71" s="352"/>
    </row>
    <row r="72" spans="1:8" hidden="1" outlineLevel="1">
      <c r="A72" s="352"/>
      <c r="B72" s="352"/>
      <c r="C72" s="352"/>
      <c r="D72" s="373"/>
      <c r="E72" s="373"/>
      <c r="F72" s="352"/>
      <c r="G72" s="352"/>
      <c r="H72" s="352"/>
    </row>
    <row r="73" spans="1:8" collapsed="1">
      <c r="A73" s="386"/>
      <c r="B73" s="386"/>
      <c r="C73" s="386"/>
      <c r="D73" s="386"/>
      <c r="E73" s="387"/>
      <c r="F73" s="386"/>
      <c r="G73" s="386"/>
      <c r="H73" s="386"/>
    </row>
  </sheetData>
  <mergeCells count="6">
    <mergeCell ref="A69:C69"/>
    <mergeCell ref="H38:J38"/>
    <mergeCell ref="G41:I41"/>
    <mergeCell ref="G40:I40"/>
    <mergeCell ref="J40:K40"/>
    <mergeCell ref="J41:K41"/>
  </mergeCells>
  <dataValidations count="3">
    <dataValidation type="list" allowBlank="1" showInputMessage="1" showErrorMessage="1" sqref="A20:A38">
      <formula1>"Studio, 1BR, 2BR, 3BR, 4BR"</formula1>
    </dataValidation>
    <dataValidation type="list" showInputMessage="1" showErrorMessage="1" sqref="E20:E38">
      <formula1>"_,Section 8 PBV, Section 8 EV, Section 8 TPV, Other"</formula1>
    </dataValidation>
    <dataValidation showDropDown="1" showInputMessage="1" showErrorMessage="1" sqref="C20:C3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'[1]LIST DATA-INTERNAL USE ONLY'!#REF!</xm:f>
          </x14:formula1>
          <xm:sqref>C38</xm:sqref>
        </x14:dataValidation>
        <x14:dataValidation type="list" showInputMessage="1" showErrorMessage="1">
          <x14:formula1>
            <xm:f>'[1]LIST DATA-INTERNAL USE ONLY'!#REF!</xm:f>
          </x14:formula1>
          <xm:sqref>D20:D38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zoomScale="85" zoomScaleNormal="85" zoomScalePageLayoutView="85" workbookViewId="0">
      <selection activeCell="A2" sqref="A2"/>
    </sheetView>
  </sheetViews>
  <sheetFormatPr baseColWidth="10" defaultColWidth="11.5" defaultRowHeight="15" outlineLevelCol="1" x14ac:dyDescent="0"/>
  <cols>
    <col min="1" max="1" width="48.5" style="42" customWidth="1"/>
    <col min="2" max="2" width="18.83203125" style="42" customWidth="1"/>
    <col min="3" max="3" width="20" style="42" customWidth="1"/>
    <col min="4" max="4" width="28.1640625" style="42" customWidth="1"/>
    <col min="5" max="5" width="4.5" style="214" customWidth="1"/>
    <col min="6" max="6" width="12.1640625" style="42" hidden="1" customWidth="1" outlineLevel="1"/>
    <col min="7" max="7" width="18.6640625" style="215" hidden="1" customWidth="1" outlineLevel="1"/>
    <col min="8" max="8" width="2.1640625" style="42" customWidth="1" collapsed="1"/>
    <col min="9" max="9" width="17.1640625" style="42" customWidth="1"/>
    <col min="10" max="10" width="15" style="42" customWidth="1"/>
    <col min="11" max="11" width="13" style="42" customWidth="1"/>
    <col min="12" max="12" width="14.6640625" style="42" customWidth="1"/>
    <col min="13" max="13" width="12.6640625" style="42" bestFit="1" customWidth="1"/>
    <col min="14" max="16384" width="11.5" style="42"/>
  </cols>
  <sheetData>
    <row r="1" spans="1:10" ht="16.5" customHeight="1">
      <c r="A1" s="35" t="str">
        <f>Revenue!A1</f>
        <v>VITAL BROOKLYN HOMEOWNERSHIP INITIATIVE</v>
      </c>
      <c r="B1" s="36"/>
      <c r="C1" s="432" t="s">
        <v>15</v>
      </c>
      <c r="D1" s="38">
        <f>Revenue!E14</f>
        <v>0</v>
      </c>
      <c r="E1" s="40"/>
      <c r="F1" s="36"/>
      <c r="G1" s="41"/>
      <c r="H1" s="36"/>
    </row>
    <row r="2" spans="1:10" ht="16.5" customHeight="1">
      <c r="A2" s="43"/>
      <c r="B2" s="36"/>
      <c r="C2" s="37"/>
      <c r="D2" s="37"/>
      <c r="E2" s="40"/>
      <c r="F2" s="38"/>
      <c r="G2" s="44"/>
      <c r="H2" s="36"/>
    </row>
    <row r="3" spans="1:10" ht="15" customHeight="1">
      <c r="A3" s="37"/>
      <c r="B3" s="38"/>
      <c r="C3" s="37"/>
      <c r="D3" s="37"/>
      <c r="E3" s="40"/>
      <c r="F3" s="36"/>
      <c r="G3" s="41"/>
      <c r="H3" s="36"/>
    </row>
    <row r="4" spans="1:10" ht="15.75" customHeight="1" thickBot="1">
      <c r="A4" s="45" t="s">
        <v>16</v>
      </c>
      <c r="B4" s="46"/>
      <c r="C4" s="37"/>
      <c r="D4" s="37"/>
      <c r="E4" s="47"/>
      <c r="F4" s="48"/>
      <c r="G4" s="44"/>
      <c r="H4" s="36"/>
    </row>
    <row r="5" spans="1:10" ht="16" thickBot="1">
      <c r="A5" s="49"/>
      <c r="B5" s="505"/>
      <c r="C5" s="506"/>
      <c r="D5" s="506"/>
      <c r="E5" s="50"/>
      <c r="F5" s="507" t="s">
        <v>17</v>
      </c>
      <c r="G5" s="508"/>
      <c r="H5" s="36"/>
    </row>
    <row r="6" spans="1:10" ht="16" thickBot="1">
      <c r="A6" s="43"/>
      <c r="B6" s="51"/>
      <c r="C6" s="51"/>
      <c r="D6" s="51" t="s">
        <v>18</v>
      </c>
      <c r="E6" s="50"/>
      <c r="F6" s="52"/>
      <c r="G6" s="52"/>
      <c r="H6" s="36"/>
    </row>
    <row r="7" spans="1:10" ht="15" customHeight="1">
      <c r="A7" s="509" t="s">
        <v>10</v>
      </c>
      <c r="B7" s="504"/>
      <c r="C7" s="504"/>
      <c r="D7" s="504"/>
      <c r="E7" s="53"/>
      <c r="F7" s="53"/>
      <c r="G7" s="53"/>
      <c r="H7" s="36"/>
    </row>
    <row r="8" spans="1:10">
      <c r="A8" s="54" t="s">
        <v>19</v>
      </c>
      <c r="B8" s="8"/>
      <c r="C8" s="55"/>
      <c r="D8" s="444">
        <v>0</v>
      </c>
      <c r="E8" s="56"/>
      <c r="F8" s="57" t="e">
        <f>G8/#REF!</f>
        <v>#REF!</v>
      </c>
      <c r="G8" s="58"/>
      <c r="H8" s="36"/>
    </row>
    <row r="9" spans="1:10" ht="16" thickBot="1">
      <c r="A9" s="54" t="s">
        <v>20</v>
      </c>
      <c r="B9" s="8"/>
      <c r="C9" s="55"/>
      <c r="D9" s="444">
        <v>0</v>
      </c>
      <c r="E9" s="53"/>
      <c r="F9" s="57" t="e">
        <f>G9/#REF!</f>
        <v>#REF!</v>
      </c>
      <c r="G9" s="59">
        <v>0</v>
      </c>
      <c r="H9" s="36"/>
      <c r="I9" s="60"/>
      <c r="J9" s="61"/>
    </row>
    <row r="10" spans="1:10" ht="16" thickBot="1">
      <c r="A10" s="62" t="s">
        <v>21</v>
      </c>
      <c r="B10" s="388" t="e">
        <f>D10/Revenue!E14</f>
        <v>#DIV/0!</v>
      </c>
      <c r="C10" s="63" t="s">
        <v>22</v>
      </c>
      <c r="D10" s="64">
        <f>SUM(D8:D9)</f>
        <v>0</v>
      </c>
      <c r="E10" s="65"/>
      <c r="F10" s="66"/>
      <c r="G10" s="67">
        <f>SUM(G8:G9)</f>
        <v>0</v>
      </c>
      <c r="H10" s="36"/>
      <c r="I10" s="60"/>
    </row>
    <row r="11" spans="1:10" ht="30" customHeight="1">
      <c r="A11" s="503" t="s">
        <v>23</v>
      </c>
      <c r="B11" s="504"/>
      <c r="C11" s="504"/>
      <c r="D11" s="504"/>
      <c r="E11" s="56"/>
      <c r="F11" s="56"/>
      <c r="G11" s="56"/>
      <c r="H11" s="36" t="s">
        <v>24</v>
      </c>
      <c r="I11" s="42" t="s">
        <v>24</v>
      </c>
    </row>
    <row r="12" spans="1:10">
      <c r="A12" s="68"/>
      <c r="B12" s="69"/>
      <c r="C12" s="9"/>
      <c r="D12" s="9"/>
      <c r="E12" s="56"/>
      <c r="F12" s="57" t="e">
        <f>G12/#REF!</f>
        <v>#REF!</v>
      </c>
      <c r="G12" s="59"/>
      <c r="H12" s="36" t="s">
        <v>24</v>
      </c>
      <c r="I12" s="42" t="s">
        <v>24</v>
      </c>
    </row>
    <row r="13" spans="1:10">
      <c r="A13" s="70" t="s">
        <v>25</v>
      </c>
      <c r="B13" s="71" t="e">
        <f>D13/Revenue!#REF!</f>
        <v>#REF!</v>
      </c>
      <c r="C13" s="72" t="s">
        <v>26</v>
      </c>
      <c r="D13" s="73">
        <v>0</v>
      </c>
      <c r="E13" s="56"/>
      <c r="F13" s="57" t="e">
        <f>G13/#REF!</f>
        <v>#REF!</v>
      </c>
      <c r="G13" s="59"/>
      <c r="H13" s="36"/>
    </row>
    <row r="14" spans="1:10">
      <c r="A14" s="70"/>
      <c r="B14" s="74" t="e">
        <f>D13/D79</f>
        <v>#DIV/0!</v>
      </c>
      <c r="C14" s="72" t="s">
        <v>27</v>
      </c>
      <c r="D14" s="72"/>
      <c r="E14" s="75"/>
      <c r="F14" s="76"/>
      <c r="G14" s="58"/>
      <c r="H14" s="36"/>
    </row>
    <row r="15" spans="1:10">
      <c r="A15" s="70" t="s">
        <v>28</v>
      </c>
      <c r="B15" s="389" t="e">
        <f>D15/Revenue!#REF!</f>
        <v>#REF!</v>
      </c>
      <c r="C15" s="72" t="s">
        <v>26</v>
      </c>
      <c r="D15" s="24">
        <v>0</v>
      </c>
      <c r="E15" s="75"/>
      <c r="F15" s="57" t="e">
        <f>G15/#REF!</f>
        <v>#REF!</v>
      </c>
      <c r="G15" s="59"/>
      <c r="H15" s="36" t="s">
        <v>24</v>
      </c>
      <c r="I15" s="77" t="s">
        <v>24</v>
      </c>
    </row>
    <row r="16" spans="1:10">
      <c r="A16" s="70"/>
      <c r="B16" s="54"/>
      <c r="C16" s="9"/>
      <c r="D16" s="78"/>
      <c r="E16" s="75"/>
      <c r="F16" s="80"/>
      <c r="G16" s="81"/>
      <c r="H16" s="36"/>
    </row>
    <row r="17" spans="1:15">
      <c r="A17" s="82" t="s">
        <v>29</v>
      </c>
      <c r="B17" s="83" t="s">
        <v>30</v>
      </c>
      <c r="C17" s="9"/>
      <c r="D17" s="78"/>
      <c r="E17" s="75"/>
      <c r="F17" s="4"/>
      <c r="G17" s="84"/>
      <c r="H17" s="36"/>
    </row>
    <row r="18" spans="1:15">
      <c r="A18" s="12" t="s">
        <v>31</v>
      </c>
      <c r="B18" s="85">
        <v>0.06</v>
      </c>
      <c r="C18" s="390" t="e">
        <f>D18/D15</f>
        <v>#DIV/0!</v>
      </c>
      <c r="D18" s="442">
        <v>0</v>
      </c>
      <c r="E18" s="75"/>
      <c r="F18" s="86" t="e">
        <f>G18/#REF!</f>
        <v>#REF!</v>
      </c>
      <c r="G18" s="59"/>
      <c r="H18" s="36"/>
      <c r="I18" s="87"/>
    </row>
    <row r="19" spans="1:15">
      <c r="A19" s="12" t="s">
        <v>32</v>
      </c>
      <c r="B19" s="85">
        <v>0.02</v>
      </c>
      <c r="C19" s="390" t="e">
        <f>D19/D15</f>
        <v>#DIV/0!</v>
      </c>
      <c r="D19" s="442">
        <v>0</v>
      </c>
      <c r="E19" s="75"/>
      <c r="F19" s="57" t="e">
        <f>G19/#REF!</f>
        <v>#REF!</v>
      </c>
      <c r="G19" s="59"/>
      <c r="H19" s="36"/>
      <c r="I19" s="77"/>
    </row>
    <row r="20" spans="1:15">
      <c r="A20" s="12" t="s">
        <v>33</v>
      </c>
      <c r="B20" s="85">
        <v>0.06</v>
      </c>
      <c r="C20" s="390" t="e">
        <f>D20/D15</f>
        <v>#DIV/0!</v>
      </c>
      <c r="D20" s="442">
        <f>D15*B20</f>
        <v>0</v>
      </c>
      <c r="E20" s="75"/>
      <c r="F20" s="57" t="e">
        <f>G20/#REF!</f>
        <v>#REF!</v>
      </c>
      <c r="G20" s="59"/>
      <c r="H20" s="36"/>
      <c r="I20" s="87"/>
    </row>
    <row r="21" spans="1:15">
      <c r="A21" s="12" t="s">
        <v>34</v>
      </c>
      <c r="B21" s="88"/>
      <c r="C21" s="390" t="e">
        <f>D21/D15</f>
        <v>#DIV/0!</v>
      </c>
      <c r="D21" s="442">
        <v>0</v>
      </c>
      <c r="E21" s="75"/>
      <c r="F21" s="57" t="e">
        <f>G21/#REF!</f>
        <v>#REF!</v>
      </c>
      <c r="G21" s="89"/>
      <c r="H21" s="36"/>
      <c r="I21" s="87"/>
    </row>
    <row r="22" spans="1:15">
      <c r="A22" s="12" t="s">
        <v>35</v>
      </c>
      <c r="B22" s="85">
        <v>0.1</v>
      </c>
      <c r="C22" s="390" t="e">
        <f>D22/D15</f>
        <v>#DIV/0!</v>
      </c>
      <c r="D22" s="443">
        <f>D15*B22</f>
        <v>0</v>
      </c>
      <c r="E22" s="75"/>
      <c r="F22" s="57" t="e">
        <f>G22/#REF!</f>
        <v>#REF!</v>
      </c>
      <c r="G22" s="59"/>
      <c r="H22" s="36"/>
      <c r="I22" s="87"/>
    </row>
    <row r="23" spans="1:15" ht="19" thickBot="1">
      <c r="A23" s="54"/>
      <c r="B23" s="90"/>
      <c r="C23" s="91"/>
      <c r="D23" s="91"/>
      <c r="E23" s="92"/>
      <c r="F23" s="93"/>
      <c r="G23" s="81"/>
      <c r="H23" s="36" t="s">
        <v>24</v>
      </c>
      <c r="K23" s="42" t="str">
        <f>H23</f>
        <v xml:space="preserve"> </v>
      </c>
    </row>
    <row r="24" spans="1:15" ht="16" thickBot="1">
      <c r="A24" s="94" t="s">
        <v>36</v>
      </c>
      <c r="B24" s="4"/>
      <c r="D24" s="64">
        <f>SUM(D12:D23)</f>
        <v>0</v>
      </c>
      <c r="E24" s="65"/>
      <c r="F24" s="4"/>
      <c r="G24" s="67">
        <f>SUM(G12:G23)</f>
        <v>0</v>
      </c>
      <c r="H24" s="36"/>
      <c r="I24" s="95"/>
    </row>
    <row r="25" spans="1:15">
      <c r="A25" s="96"/>
      <c r="B25" s="97"/>
      <c r="C25" s="98" t="e">
        <f>#REF!/[1]Revenue!C9</f>
        <v>#REF!</v>
      </c>
      <c r="D25" s="98"/>
      <c r="E25" s="99"/>
      <c r="F25" s="4"/>
      <c r="G25" s="100"/>
      <c r="H25" s="36"/>
    </row>
    <row r="26" spans="1:15" ht="16" thickBot="1">
      <c r="A26" s="62"/>
      <c r="B26" s="101"/>
      <c r="C26" s="102" t="e">
        <f>#REF!/[1]Revenue!$J$14</f>
        <v>#REF!</v>
      </c>
      <c r="D26" s="102"/>
      <c r="E26" s="103"/>
      <c r="F26" s="104"/>
      <c r="G26" s="105"/>
      <c r="H26" s="36"/>
    </row>
    <row r="27" spans="1:15" ht="30" customHeight="1">
      <c r="A27" s="503" t="s">
        <v>12</v>
      </c>
      <c r="B27" s="504"/>
      <c r="C27" s="504"/>
      <c r="D27" s="504"/>
      <c r="E27" s="36"/>
      <c r="F27" s="36"/>
      <c r="G27" s="36"/>
      <c r="H27" s="43"/>
      <c r="I27" s="9"/>
      <c r="J27" s="9"/>
      <c r="K27" s="9"/>
      <c r="L27" s="9"/>
      <c r="M27" s="9"/>
      <c r="N27" s="9"/>
      <c r="O27" s="9"/>
    </row>
    <row r="28" spans="1:15" ht="13.5" customHeight="1">
      <c r="A28" s="86"/>
      <c r="B28" s="106"/>
      <c r="C28" s="107"/>
      <c r="D28" s="108"/>
      <c r="E28" s="56"/>
      <c r="F28" s="54"/>
      <c r="G28" s="109"/>
      <c r="H28" s="43"/>
      <c r="I28" s="9"/>
      <c r="J28" s="9"/>
      <c r="K28" s="9"/>
      <c r="L28" s="9"/>
      <c r="M28" s="9"/>
      <c r="N28" s="9"/>
      <c r="O28" s="9"/>
    </row>
    <row r="29" spans="1:15">
      <c r="A29" s="54" t="s">
        <v>37</v>
      </c>
      <c r="B29" s="106"/>
      <c r="C29" s="107"/>
      <c r="D29" s="445">
        <f>D24*0.14</f>
        <v>0</v>
      </c>
      <c r="E29" s="75"/>
      <c r="F29" s="57" t="e">
        <f>G29/#REF!</f>
        <v>#REF!</v>
      </c>
      <c r="G29" s="110" t="e">
        <f>#REF!</f>
        <v>#REF!</v>
      </c>
      <c r="H29" s="43"/>
      <c r="I29" s="9"/>
      <c r="J29" s="9"/>
      <c r="K29" s="9"/>
      <c r="L29" s="9"/>
      <c r="M29" s="9"/>
      <c r="N29" s="9"/>
      <c r="O29" s="9"/>
    </row>
    <row r="30" spans="1:15">
      <c r="A30" s="54" t="s">
        <v>38</v>
      </c>
      <c r="B30" s="54"/>
      <c r="C30" s="9"/>
      <c r="D30" s="445">
        <v>0</v>
      </c>
      <c r="E30" s="75"/>
      <c r="F30" s="57" t="e">
        <f>G30/#REF!</f>
        <v>#REF!</v>
      </c>
      <c r="G30" s="110"/>
      <c r="H30" s="43"/>
      <c r="I30" s="9"/>
      <c r="J30" s="9"/>
      <c r="K30" s="9"/>
      <c r="L30" s="9"/>
      <c r="M30" s="9"/>
      <c r="N30" s="9"/>
      <c r="O30" s="9"/>
    </row>
    <row r="31" spans="1:15">
      <c r="A31" s="54" t="s">
        <v>39</v>
      </c>
      <c r="B31" s="54"/>
      <c r="C31" s="9"/>
      <c r="D31" s="445">
        <v>0</v>
      </c>
      <c r="E31" s="75"/>
      <c r="F31" s="57" t="e">
        <f>G31/#REF!</f>
        <v>#REF!</v>
      </c>
      <c r="G31" s="110"/>
      <c r="H31" s="43"/>
      <c r="I31" s="9"/>
      <c r="J31" s="9"/>
      <c r="K31" s="9"/>
      <c r="L31" s="9"/>
      <c r="M31" s="9"/>
      <c r="N31" s="9"/>
      <c r="O31" s="9"/>
    </row>
    <row r="32" spans="1:15">
      <c r="A32" s="54" t="s">
        <v>40</v>
      </c>
      <c r="B32" s="54"/>
      <c r="C32" s="111"/>
      <c r="D32" s="445">
        <v>0</v>
      </c>
      <c r="E32" s="75"/>
      <c r="F32" s="57" t="e">
        <f>G32/#REF!</f>
        <v>#REF!</v>
      </c>
      <c r="G32" s="110"/>
      <c r="H32" s="43"/>
      <c r="I32" s="9"/>
      <c r="J32" s="9"/>
      <c r="K32" s="9"/>
      <c r="L32" s="9"/>
      <c r="M32" s="9"/>
      <c r="N32" s="9"/>
      <c r="O32" s="9"/>
    </row>
    <row r="33" spans="1:15">
      <c r="A33" s="54" t="s">
        <v>41</v>
      </c>
      <c r="B33" s="54"/>
      <c r="C33" s="112"/>
      <c r="D33" s="445">
        <v>0</v>
      </c>
      <c r="E33" s="75"/>
      <c r="F33" s="57" t="e">
        <f>G33/#REF!</f>
        <v>#REF!</v>
      </c>
      <c r="G33" s="110"/>
      <c r="H33" s="43"/>
      <c r="I33" s="9"/>
      <c r="J33" s="9"/>
      <c r="K33" s="9"/>
      <c r="L33" s="9"/>
      <c r="M33" s="9"/>
      <c r="N33" s="9"/>
      <c r="O33" s="9"/>
    </row>
    <row r="34" spans="1:15">
      <c r="A34" s="54" t="s">
        <v>42</v>
      </c>
      <c r="B34" s="54"/>
      <c r="C34" s="9"/>
      <c r="D34" s="445">
        <v>0</v>
      </c>
      <c r="E34" s="75"/>
      <c r="F34" s="57" t="e">
        <f>G34/#REF!</f>
        <v>#REF!</v>
      </c>
      <c r="G34" s="110"/>
      <c r="H34" s="43"/>
      <c r="I34" s="9"/>
      <c r="J34" s="9"/>
      <c r="K34" s="9"/>
      <c r="L34" s="9"/>
      <c r="M34" s="9"/>
      <c r="N34" s="9"/>
      <c r="O34" s="9"/>
    </row>
    <row r="35" spans="1:15">
      <c r="A35" s="54" t="s">
        <v>43</v>
      </c>
      <c r="B35" s="54"/>
      <c r="C35" s="9"/>
      <c r="D35" s="445">
        <v>0</v>
      </c>
      <c r="E35" s="75"/>
      <c r="F35" s="57" t="e">
        <f>G35/#REF!</f>
        <v>#REF!</v>
      </c>
      <c r="G35" s="110"/>
      <c r="H35" s="43"/>
      <c r="I35" s="9"/>
      <c r="J35" s="9"/>
      <c r="K35" s="9"/>
      <c r="L35" s="9"/>
      <c r="M35" s="9"/>
      <c r="N35" s="9"/>
      <c r="O35" s="9"/>
    </row>
    <row r="36" spans="1:15">
      <c r="A36" s="54" t="s">
        <v>44</v>
      </c>
      <c r="B36" s="54"/>
      <c r="C36" s="9"/>
      <c r="D36" s="445">
        <v>0</v>
      </c>
      <c r="E36" s="75"/>
      <c r="F36" s="57" t="e">
        <f>G36/#REF!</f>
        <v>#REF!</v>
      </c>
      <c r="G36" s="110"/>
      <c r="H36" s="43"/>
      <c r="I36" s="9"/>
      <c r="J36" s="9"/>
      <c r="K36" s="9"/>
      <c r="L36" s="9"/>
      <c r="M36" s="9"/>
      <c r="N36" s="9"/>
      <c r="O36" s="9"/>
    </row>
    <row r="37" spans="1:15">
      <c r="A37" s="54" t="s">
        <v>45</v>
      </c>
      <c r="B37" s="54"/>
      <c r="C37" s="112"/>
      <c r="D37" s="445">
        <v>0</v>
      </c>
      <c r="E37" s="75"/>
      <c r="F37" s="57" t="e">
        <f>G37/#REF!</f>
        <v>#REF!</v>
      </c>
      <c r="G37" s="110"/>
      <c r="H37" s="43"/>
      <c r="I37" s="9"/>
      <c r="J37" s="9"/>
      <c r="K37" s="9"/>
      <c r="L37" s="9"/>
      <c r="M37" s="9"/>
      <c r="N37" s="9"/>
      <c r="O37" s="9"/>
    </row>
    <row r="38" spans="1:15">
      <c r="A38" s="54" t="s">
        <v>46</v>
      </c>
      <c r="B38" s="113"/>
      <c r="C38" s="9"/>
      <c r="D38" s="445">
        <v>0</v>
      </c>
      <c r="E38" s="75"/>
      <c r="F38" s="57" t="e">
        <f>G38/#REF!</f>
        <v>#REF!</v>
      </c>
      <c r="G38" s="110"/>
      <c r="H38" s="43"/>
      <c r="I38" s="9"/>
      <c r="J38" s="9"/>
      <c r="K38" s="9"/>
      <c r="L38" s="9"/>
      <c r="M38" s="91"/>
      <c r="N38" s="114"/>
      <c r="O38" s="28"/>
    </row>
    <row r="39" spans="1:15">
      <c r="A39" s="54" t="s">
        <v>47</v>
      </c>
      <c r="B39" s="54"/>
      <c r="C39" s="9"/>
      <c r="D39" s="445">
        <v>0</v>
      </c>
      <c r="E39" s="75"/>
      <c r="F39" s="57" t="e">
        <f>G39/#REF!</f>
        <v>#REF!</v>
      </c>
      <c r="G39" s="110"/>
      <c r="H39" s="43"/>
      <c r="I39" s="9"/>
      <c r="J39" s="9"/>
      <c r="K39" s="9"/>
      <c r="L39" s="9"/>
      <c r="M39" s="9"/>
      <c r="N39" s="9"/>
      <c r="O39" s="28"/>
    </row>
    <row r="40" spans="1:15">
      <c r="A40" s="54" t="s">
        <v>226</v>
      </c>
      <c r="B40" s="54"/>
      <c r="C40" s="9"/>
      <c r="D40" s="445">
        <v>0</v>
      </c>
      <c r="E40" s="75"/>
      <c r="F40" s="57" t="e">
        <f>G40/#REF!</f>
        <v>#REF!</v>
      </c>
      <c r="G40" s="110"/>
      <c r="H40" s="43"/>
      <c r="I40" s="9"/>
      <c r="J40" s="9"/>
      <c r="K40" s="9"/>
      <c r="L40" s="9"/>
      <c r="M40" s="9"/>
      <c r="N40" s="9"/>
      <c r="O40" s="28"/>
    </row>
    <row r="41" spans="1:15">
      <c r="A41" s="54" t="s">
        <v>48</v>
      </c>
      <c r="B41" s="54"/>
      <c r="C41" s="9"/>
      <c r="D41" s="445">
        <v>0</v>
      </c>
      <c r="E41" s="75"/>
      <c r="F41" s="57" t="e">
        <f>G41/#REF!</f>
        <v>#REF!</v>
      </c>
      <c r="G41" s="110"/>
      <c r="H41" s="43"/>
      <c r="I41" s="9"/>
      <c r="J41" s="9"/>
      <c r="K41" s="9"/>
      <c r="L41" s="9"/>
      <c r="M41" s="9"/>
      <c r="N41" s="9"/>
      <c r="O41" s="9"/>
    </row>
    <row r="42" spans="1:15" ht="18">
      <c r="A42" s="54" t="s">
        <v>49</v>
      </c>
      <c r="B42" s="115"/>
      <c r="C42" s="9"/>
      <c r="D42" s="445">
        <v>0</v>
      </c>
      <c r="E42" s="117"/>
      <c r="F42" s="57" t="e">
        <f>G42/#REF!</f>
        <v>#REF!</v>
      </c>
      <c r="G42" s="118"/>
      <c r="H42" s="43"/>
      <c r="I42" s="9"/>
      <c r="J42" s="9"/>
      <c r="K42" s="9"/>
      <c r="L42" s="9"/>
      <c r="M42" s="9"/>
      <c r="N42" s="9"/>
      <c r="O42" s="9"/>
    </row>
    <row r="43" spans="1:15" s="54" customFormat="1" ht="15.75" customHeight="1">
      <c r="A43" s="54" t="s">
        <v>50</v>
      </c>
      <c r="B43" s="115"/>
      <c r="C43" s="116"/>
      <c r="D43" s="445">
        <v>0</v>
      </c>
      <c r="E43" s="377"/>
      <c r="F43" s="377"/>
      <c r="G43" s="377"/>
      <c r="H43" s="377"/>
      <c r="I43" s="376"/>
      <c r="J43" s="376"/>
    </row>
    <row r="44" spans="1:15" s="127" customFormat="1" ht="15.75" customHeight="1">
      <c r="A44" s="54" t="s">
        <v>51</v>
      </c>
      <c r="B44" s="431"/>
      <c r="C44" s="376"/>
      <c r="D44" s="445">
        <v>0</v>
      </c>
      <c r="E44" s="122"/>
      <c r="F44" s="123"/>
      <c r="G44" s="124"/>
      <c r="H44" s="125"/>
      <c r="I44" s="126"/>
      <c r="J44" s="434"/>
      <c r="K44" s="434"/>
      <c r="L44" s="126"/>
      <c r="M44" s="126"/>
      <c r="N44" s="126"/>
      <c r="O44" s="126"/>
    </row>
    <row r="45" spans="1:15" ht="16" thickBot="1">
      <c r="A45" s="119" t="s">
        <v>52</v>
      </c>
      <c r="B45" s="120"/>
      <c r="C45" s="121"/>
      <c r="D45" s="445">
        <v>0</v>
      </c>
      <c r="E45" s="132"/>
      <c r="F45" s="133"/>
      <c r="G45" s="131"/>
      <c r="H45" s="43"/>
      <c r="I45" s="95"/>
      <c r="J45" s="376"/>
      <c r="K45" s="376"/>
      <c r="L45" s="114"/>
      <c r="M45" s="9"/>
      <c r="N45" s="9"/>
      <c r="O45" s="28"/>
    </row>
    <row r="46" spans="1:15" ht="30" customHeight="1" thickBot="1">
      <c r="A46" s="128" t="s">
        <v>53</v>
      </c>
      <c r="B46" s="129"/>
      <c r="C46" s="130"/>
      <c r="D46" s="446">
        <f>SUM(D29:D45)</f>
        <v>0</v>
      </c>
      <c r="E46" s="134"/>
      <c r="F46" s="134"/>
      <c r="G46" s="134"/>
      <c r="H46" s="43"/>
      <c r="I46" s="9"/>
      <c r="J46" s="376"/>
      <c r="K46" s="376"/>
      <c r="L46" s="9"/>
      <c r="M46" s="9"/>
      <c r="N46" s="9"/>
      <c r="O46" s="9"/>
    </row>
    <row r="47" spans="1:15">
      <c r="A47" s="503" t="s">
        <v>54</v>
      </c>
      <c r="B47" s="504"/>
      <c r="C47" s="504"/>
      <c r="D47" s="504"/>
      <c r="E47" s="135"/>
      <c r="F47" s="57" t="e">
        <f>G47/#REF!</f>
        <v>#REF!</v>
      </c>
      <c r="G47" s="136"/>
      <c r="H47" s="43"/>
      <c r="I47" s="111"/>
      <c r="J47" s="376"/>
      <c r="K47" s="376"/>
      <c r="L47" s="137"/>
      <c r="M47" s="9"/>
      <c r="N47" s="9"/>
      <c r="O47" s="9"/>
    </row>
    <row r="48" spans="1:15">
      <c r="A48" s="4" t="s">
        <v>55</v>
      </c>
      <c r="B48" s="54"/>
      <c r="C48" s="91"/>
      <c r="D48" s="24">
        <v>0</v>
      </c>
      <c r="E48" s="135"/>
      <c r="F48" s="57" t="e">
        <f>G48/#REF!</f>
        <v>#REF!</v>
      </c>
      <c r="G48" s="136">
        <v>0</v>
      </c>
      <c r="H48" s="43"/>
      <c r="I48" s="111"/>
      <c r="J48" s="376"/>
      <c r="K48" s="376"/>
      <c r="L48" s="9"/>
      <c r="M48" s="9"/>
      <c r="N48" s="9"/>
      <c r="O48" s="9"/>
    </row>
    <row r="49" spans="1:15">
      <c r="A49" s="4" t="s">
        <v>225</v>
      </c>
      <c r="B49" s="86"/>
      <c r="C49" s="9"/>
      <c r="D49" s="24">
        <v>0</v>
      </c>
      <c r="E49" s="135"/>
      <c r="F49" s="57" t="e">
        <f>G49/#REF!</f>
        <v>#REF!</v>
      </c>
      <c r="G49" s="136">
        <v>0</v>
      </c>
      <c r="H49" s="43"/>
      <c r="I49" s="111"/>
      <c r="J49" s="376"/>
      <c r="K49" s="435" t="e">
        <f>#REF!*0.75</f>
        <v>#REF!</v>
      </c>
      <c r="L49" s="9"/>
      <c r="M49" s="9"/>
      <c r="N49" s="9"/>
      <c r="O49" s="9"/>
    </row>
    <row r="50" spans="1:15">
      <c r="A50" s="4" t="s">
        <v>56</v>
      </c>
      <c r="B50" s="138">
        <f>'[1]Construction Interest'!C50</f>
        <v>0.01</v>
      </c>
      <c r="C50" s="139" t="s">
        <v>57</v>
      </c>
      <c r="D50" s="140">
        <v>0</v>
      </c>
      <c r="E50" s="144"/>
      <c r="F50" s="57" t="e">
        <f>G50/#REF!</f>
        <v>#REF!</v>
      </c>
      <c r="G50" s="145">
        <v>0</v>
      </c>
      <c r="H50" s="43"/>
      <c r="I50" s="111"/>
      <c r="J50" s="376"/>
      <c r="K50" s="376"/>
      <c r="L50" s="9"/>
      <c r="M50" s="9"/>
      <c r="N50" s="9"/>
      <c r="O50" s="9"/>
    </row>
    <row r="51" spans="1:15">
      <c r="A51" s="4" t="s">
        <v>58</v>
      </c>
      <c r="B51" s="141">
        <f>'[1]Construction Interest'!C51</f>
        <v>1.2500000000000001E-2</v>
      </c>
      <c r="C51" s="142">
        <f>'[1]Construction Interest'!C15</f>
        <v>0</v>
      </c>
      <c r="D51" s="143">
        <v>0</v>
      </c>
      <c r="E51" s="144"/>
      <c r="F51" s="57" t="e">
        <f>G51/#REF!</f>
        <v>#REF!</v>
      </c>
      <c r="G51" s="145">
        <v>0</v>
      </c>
      <c r="H51" s="43"/>
      <c r="I51" s="9"/>
      <c r="J51" s="376"/>
      <c r="K51" s="376"/>
      <c r="L51" s="9"/>
      <c r="M51" s="9"/>
      <c r="N51" s="9"/>
      <c r="O51" s="9"/>
    </row>
    <row r="52" spans="1:15">
      <c r="A52" s="4" t="s">
        <v>59</v>
      </c>
      <c r="B52" s="54"/>
      <c r="C52" s="9"/>
      <c r="D52" s="24">
        <v>0</v>
      </c>
      <c r="E52" s="144"/>
      <c r="F52" s="57" t="e">
        <f>G52/#REF!</f>
        <v>#REF!</v>
      </c>
      <c r="G52" s="145">
        <v>0</v>
      </c>
      <c r="H52" s="43"/>
      <c r="I52" s="9"/>
      <c r="J52" s="376"/>
      <c r="K52" s="376"/>
      <c r="L52" s="9"/>
      <c r="M52" s="9"/>
      <c r="N52" s="9"/>
      <c r="O52" s="9"/>
    </row>
    <row r="53" spans="1:15" ht="18">
      <c r="A53" s="4" t="s">
        <v>60</v>
      </c>
      <c r="B53" s="54"/>
      <c r="C53" s="9"/>
      <c r="D53" s="24">
        <v>0</v>
      </c>
      <c r="E53" s="147"/>
      <c r="F53" s="57" t="e">
        <f>G53/#REF!</f>
        <v>#REF!</v>
      </c>
      <c r="G53" s="148">
        <v>0</v>
      </c>
      <c r="H53" s="43"/>
      <c r="I53" s="9"/>
      <c r="J53" s="376"/>
      <c r="K53" s="376"/>
      <c r="L53" s="9"/>
      <c r="M53" s="9"/>
      <c r="N53" s="9"/>
      <c r="O53" s="28"/>
    </row>
    <row r="54" spans="1:15" ht="16" thickBot="1">
      <c r="A54" s="54" t="s">
        <v>61</v>
      </c>
      <c r="B54" s="146"/>
      <c r="C54" s="9"/>
      <c r="D54" s="24">
        <v>0</v>
      </c>
      <c r="E54" s="152"/>
      <c r="F54" s="153"/>
      <c r="G54" s="154">
        <f>SUM(G47:G53)</f>
        <v>0</v>
      </c>
      <c r="H54" s="36"/>
      <c r="I54" s="95"/>
      <c r="J54" s="379"/>
      <c r="K54" s="379"/>
    </row>
    <row r="55" spans="1:15" ht="30" customHeight="1" thickBot="1">
      <c r="A55" s="128" t="s">
        <v>62</v>
      </c>
      <c r="B55" s="149"/>
      <c r="C55" s="150"/>
      <c r="D55" s="151">
        <f>SUM(D48:D54)</f>
        <v>0</v>
      </c>
      <c r="E55" s="155"/>
      <c r="F55" s="155"/>
      <c r="G55" s="155"/>
      <c r="H55" s="36"/>
      <c r="J55" s="379"/>
      <c r="K55" s="379"/>
    </row>
    <row r="56" spans="1:15">
      <c r="A56" s="503" t="s">
        <v>63</v>
      </c>
      <c r="B56" s="504"/>
      <c r="C56" s="504"/>
      <c r="D56" s="504"/>
      <c r="E56" s="155"/>
      <c r="F56" s="57" t="e">
        <f>G56/#REF!</f>
        <v>#REF!</v>
      </c>
      <c r="G56" s="158"/>
      <c r="H56" s="36"/>
      <c r="J56" s="379"/>
      <c r="K56" s="379"/>
    </row>
    <row r="57" spans="1:15">
      <c r="A57" s="70" t="s">
        <v>64</v>
      </c>
      <c r="B57" s="156"/>
      <c r="C57" s="157"/>
      <c r="D57" s="391">
        <v>0</v>
      </c>
      <c r="E57" s="155"/>
      <c r="F57" s="57"/>
      <c r="G57" s="158"/>
      <c r="H57" s="36"/>
      <c r="J57" s="379"/>
      <c r="K57" s="379"/>
    </row>
    <row r="58" spans="1:15" ht="15.75" customHeight="1">
      <c r="A58" s="70" t="s">
        <v>65</v>
      </c>
      <c r="B58" s="156"/>
      <c r="C58" s="157"/>
      <c r="D58" s="391">
        <v>0</v>
      </c>
      <c r="E58" s="155"/>
      <c r="F58" s="57" t="e">
        <f>G58/#REF!</f>
        <v>#REF!</v>
      </c>
      <c r="G58" s="158"/>
      <c r="H58" s="36"/>
      <c r="J58" s="379"/>
      <c r="K58" s="379"/>
    </row>
    <row r="59" spans="1:15" ht="16" thickBot="1">
      <c r="A59" s="70" t="s">
        <v>66</v>
      </c>
      <c r="B59" s="156"/>
      <c r="C59" s="157"/>
      <c r="D59" s="391">
        <v>0</v>
      </c>
      <c r="E59" s="152"/>
      <c r="F59" s="153"/>
      <c r="G59" s="154">
        <f>SUM(G56:G58)</f>
        <v>0</v>
      </c>
      <c r="H59" s="36"/>
      <c r="I59" s="95"/>
      <c r="J59" s="379"/>
      <c r="K59" s="379"/>
    </row>
    <row r="60" spans="1:15" ht="30" customHeight="1" thickBot="1">
      <c r="A60" s="128" t="s">
        <v>67</v>
      </c>
      <c r="B60" s="149"/>
      <c r="C60" s="150"/>
      <c r="D60" s="159">
        <f>SUM(D57:D59)</f>
        <v>0</v>
      </c>
      <c r="E60" s="56"/>
      <c r="F60" s="56"/>
      <c r="G60" s="56"/>
      <c r="H60" s="43"/>
      <c r="I60" s="9"/>
      <c r="J60" s="376"/>
      <c r="K60" s="376"/>
      <c r="L60" s="9"/>
      <c r="M60" s="9"/>
      <c r="N60" s="9"/>
      <c r="O60" s="28"/>
    </row>
    <row r="61" spans="1:15">
      <c r="A61" s="503" t="s">
        <v>68</v>
      </c>
      <c r="B61" s="504"/>
      <c r="C61" s="504"/>
      <c r="D61" s="504"/>
      <c r="E61" s="75"/>
      <c r="F61" s="57"/>
      <c r="G61" s="84"/>
      <c r="H61" s="36"/>
      <c r="I61" s="9"/>
      <c r="J61" s="436"/>
      <c r="K61" s="437"/>
      <c r="L61" s="9"/>
      <c r="M61" s="9"/>
      <c r="N61" s="162"/>
      <c r="O61" s="163"/>
    </row>
    <row r="62" spans="1:15">
      <c r="A62" s="54" t="s">
        <v>69</v>
      </c>
      <c r="B62" s="160">
        <v>1.4999999999999999E-2</v>
      </c>
      <c r="C62" s="72" t="s">
        <v>70</v>
      </c>
      <c r="D62" s="161">
        <f>B62*'Sources &amp; Uses'!B6</f>
        <v>0</v>
      </c>
      <c r="E62" s="75"/>
      <c r="F62" s="164"/>
      <c r="G62" s="15"/>
      <c r="H62" s="43"/>
      <c r="I62" s="9"/>
      <c r="J62" s="438"/>
      <c r="K62" s="439"/>
      <c r="L62" s="165"/>
      <c r="M62" s="112"/>
      <c r="N62" s="91"/>
      <c r="O62" s="28"/>
    </row>
    <row r="63" spans="1:15">
      <c r="A63" s="54" t="s">
        <v>71</v>
      </c>
      <c r="B63" s="160">
        <v>0</v>
      </c>
      <c r="C63" s="72" t="s">
        <v>228</v>
      </c>
      <c r="D63" s="24">
        <v>0</v>
      </c>
      <c r="E63" s="75"/>
      <c r="F63" s="164"/>
      <c r="G63" s="15"/>
      <c r="H63" s="43"/>
      <c r="I63" s="9"/>
      <c r="J63" s="436"/>
      <c r="K63" s="437"/>
      <c r="L63" s="114"/>
      <c r="M63" s="114"/>
      <c r="N63" s="114"/>
      <c r="O63" s="28"/>
    </row>
    <row r="64" spans="1:15">
      <c r="A64" s="54" t="s">
        <v>72</v>
      </c>
      <c r="B64" s="160">
        <v>0.01</v>
      </c>
      <c r="C64" s="72" t="s">
        <v>73</v>
      </c>
      <c r="D64" s="24">
        <v>0</v>
      </c>
      <c r="E64" s="166"/>
      <c r="F64" s="57"/>
      <c r="G64" s="167"/>
      <c r="H64" s="36"/>
      <c r="I64" s="9"/>
      <c r="J64" s="436"/>
      <c r="K64" s="437"/>
      <c r="L64" s="9"/>
      <c r="M64" s="9"/>
      <c r="N64" s="162"/>
      <c r="O64" s="163"/>
    </row>
    <row r="65" spans="1:15">
      <c r="A65" s="54" t="s">
        <v>74</v>
      </c>
      <c r="B65" s="160">
        <v>1E-3</v>
      </c>
      <c r="C65" s="9"/>
      <c r="D65" s="24">
        <f>'Sources &amp; Uses'!B6</f>
        <v>0</v>
      </c>
      <c r="E65" s="166"/>
      <c r="F65" s="57"/>
      <c r="G65" s="167"/>
      <c r="H65" s="36"/>
      <c r="I65" s="9"/>
      <c r="J65" s="379"/>
      <c r="K65" s="379"/>
      <c r="L65" s="9"/>
      <c r="M65" s="9"/>
      <c r="N65" s="162"/>
      <c r="O65" s="163"/>
    </row>
    <row r="66" spans="1:15">
      <c r="A66" s="54" t="s">
        <v>75</v>
      </c>
      <c r="B66" s="160">
        <v>5.0000000000000001E-3</v>
      </c>
      <c r="C66" s="9"/>
      <c r="D66" s="24">
        <f>B66*'Sources &amp; Uses'!B6</f>
        <v>0</v>
      </c>
      <c r="E66" s="168"/>
      <c r="F66" s="57"/>
      <c r="G66" s="167"/>
      <c r="H66" s="36"/>
      <c r="I66" s="9"/>
      <c r="J66" s="379"/>
      <c r="K66" s="379"/>
      <c r="L66" s="9"/>
      <c r="M66" s="9"/>
      <c r="N66" s="162"/>
      <c r="O66" s="163"/>
    </row>
    <row r="67" spans="1:15" ht="14.25" customHeight="1">
      <c r="A67" s="54" t="s">
        <v>76</v>
      </c>
      <c r="B67" s="160">
        <v>5.0000000000000001E-3</v>
      </c>
      <c r="C67" s="433" t="s">
        <v>228</v>
      </c>
      <c r="D67" s="24"/>
      <c r="E67" s="171"/>
      <c r="F67" s="54"/>
      <c r="G67" s="172">
        <f>SUM(G61:G66)</f>
        <v>0</v>
      </c>
      <c r="H67" s="43"/>
      <c r="I67" s="173"/>
      <c r="J67" s="376"/>
      <c r="K67" s="376"/>
      <c r="L67" s="9"/>
      <c r="M67" s="9"/>
      <c r="N67" s="9"/>
      <c r="O67" s="9"/>
    </row>
    <row r="68" spans="1:15">
      <c r="A68" s="169" t="s">
        <v>77</v>
      </c>
      <c r="B68" s="8"/>
      <c r="C68" s="55"/>
      <c r="D68" s="170">
        <f>D62+D63+D64+D65+D66+D67</f>
        <v>0</v>
      </c>
      <c r="E68" s="174"/>
      <c r="F68" s="54"/>
      <c r="G68" s="81"/>
      <c r="H68" s="43"/>
      <c r="I68" s="9"/>
      <c r="J68" s="376"/>
      <c r="K68" s="376"/>
      <c r="L68" s="9"/>
      <c r="M68" s="9"/>
      <c r="N68" s="9"/>
      <c r="O68" s="9"/>
    </row>
    <row r="69" spans="1:15">
      <c r="A69" s="169"/>
      <c r="B69" s="8"/>
      <c r="C69" s="55"/>
      <c r="D69" s="55"/>
      <c r="E69" s="449"/>
      <c r="F69" s="447"/>
      <c r="G69" s="448">
        <f>G45+G54+G59+G67</f>
        <v>0</v>
      </c>
      <c r="H69" s="377"/>
      <c r="I69" s="95"/>
      <c r="J69" s="376"/>
      <c r="K69" s="376"/>
      <c r="L69" s="9"/>
      <c r="M69" s="9"/>
      <c r="N69" s="9"/>
      <c r="O69" s="9"/>
    </row>
    <row r="70" spans="1:15" ht="16" thickBot="1">
      <c r="A70" s="62" t="s">
        <v>78</v>
      </c>
      <c r="B70" s="133"/>
      <c r="C70" s="175"/>
      <c r="D70" s="176">
        <f>D46+D55+D60+D68</f>
        <v>0</v>
      </c>
      <c r="E70" s="178"/>
      <c r="F70" s="179"/>
      <c r="G70" s="180"/>
      <c r="H70" s="43"/>
      <c r="I70" s="95"/>
      <c r="J70" s="9"/>
      <c r="K70" s="9"/>
      <c r="L70" s="9"/>
      <c r="M70" s="9"/>
      <c r="N70" s="9"/>
      <c r="O70" s="9"/>
    </row>
    <row r="71" spans="1:15" ht="16" thickBot="1">
      <c r="A71" s="96"/>
      <c r="B71" s="9"/>
      <c r="C71" s="9"/>
      <c r="D71" s="177"/>
      <c r="E71" s="75"/>
      <c r="F71" s="75"/>
      <c r="G71" s="75"/>
      <c r="H71" s="43"/>
      <c r="I71" s="181"/>
      <c r="J71" s="9"/>
      <c r="K71" s="9"/>
      <c r="L71" s="9"/>
      <c r="M71" s="9"/>
      <c r="N71" s="9"/>
      <c r="O71" s="9"/>
    </row>
    <row r="72" spans="1:15" ht="30" customHeight="1">
      <c r="A72" s="503" t="s">
        <v>13</v>
      </c>
      <c r="B72" s="504"/>
      <c r="C72" s="504"/>
      <c r="D72" s="504"/>
      <c r="E72" s="135"/>
      <c r="F72" s="57" t="e">
        <f>G72/#REF!</f>
        <v>#REF!</v>
      </c>
      <c r="G72" s="185"/>
      <c r="H72" s="36"/>
      <c r="I72" s="87"/>
    </row>
    <row r="73" spans="1:15">
      <c r="A73" s="54" t="s">
        <v>79</v>
      </c>
      <c r="B73" s="182" t="s">
        <v>224</v>
      </c>
      <c r="C73" s="183"/>
      <c r="D73" s="184">
        <f>3*'Operating Expenses'!H46</f>
        <v>0</v>
      </c>
      <c r="E73" s="135"/>
      <c r="F73" s="57"/>
      <c r="G73" s="185"/>
      <c r="H73" s="43"/>
      <c r="I73" s="9"/>
      <c r="J73" s="9"/>
      <c r="K73" s="9"/>
      <c r="L73" s="9"/>
      <c r="M73" s="9"/>
      <c r="N73" s="9"/>
      <c r="O73" s="9"/>
    </row>
    <row r="74" spans="1:15">
      <c r="A74" s="54" t="s">
        <v>80</v>
      </c>
      <c r="B74" s="186">
        <v>250</v>
      </c>
      <c r="C74" s="183" t="s">
        <v>81</v>
      </c>
      <c r="D74" s="184">
        <f>B74*Revenue!E14</f>
        <v>0</v>
      </c>
      <c r="E74" s="188"/>
      <c r="F74" s="57" t="e">
        <f>G74/#REF!</f>
        <v>#REF!</v>
      </c>
      <c r="G74" s="189"/>
      <c r="H74" s="43"/>
      <c r="I74" s="9"/>
      <c r="J74" s="9"/>
      <c r="K74" s="9"/>
      <c r="L74" s="9"/>
      <c r="M74" s="9"/>
      <c r="N74" s="9"/>
      <c r="O74" s="9"/>
    </row>
    <row r="75" spans="1:15">
      <c r="A75" s="54" t="s">
        <v>82</v>
      </c>
      <c r="B75" s="86" t="s">
        <v>83</v>
      </c>
      <c r="C75" s="183"/>
      <c r="D75" s="187">
        <v>0</v>
      </c>
      <c r="E75" s="190"/>
      <c r="F75" s="57" t="e">
        <f>G75/#REF!</f>
        <v>#REF!</v>
      </c>
      <c r="G75" s="191"/>
      <c r="H75" s="43"/>
      <c r="I75" s="13"/>
      <c r="J75" s="9"/>
      <c r="K75" s="9"/>
      <c r="L75" s="9"/>
      <c r="M75" s="9"/>
      <c r="N75" s="9"/>
      <c r="O75" s="9"/>
    </row>
    <row r="76" spans="1:15">
      <c r="A76" s="54" t="s">
        <v>84</v>
      </c>
      <c r="B76" s="54"/>
      <c r="C76" s="9"/>
      <c r="D76" s="24">
        <v>0</v>
      </c>
      <c r="E76" s="193"/>
      <c r="F76" s="164"/>
      <c r="G76" s="192">
        <f>SUM(G71:G75)</f>
        <v>0</v>
      </c>
      <c r="H76" s="43"/>
      <c r="I76" s="95"/>
      <c r="J76" s="9"/>
      <c r="K76" s="9"/>
      <c r="L76" s="9"/>
      <c r="M76" s="9"/>
      <c r="N76" s="9"/>
      <c r="O76" s="9"/>
    </row>
    <row r="77" spans="1:15" ht="16" thickBot="1">
      <c r="A77" s="169" t="s">
        <v>85</v>
      </c>
      <c r="B77" s="54"/>
      <c r="C77" s="9"/>
      <c r="D77" s="192">
        <f>SUM(D72:D76)</f>
        <v>0</v>
      </c>
      <c r="E77" s="56"/>
      <c r="F77" s="195"/>
      <c r="G77" s="196"/>
      <c r="H77" s="43"/>
      <c r="I77" s="9"/>
      <c r="J77" s="9"/>
      <c r="K77" s="9"/>
      <c r="L77" s="9"/>
      <c r="M77" s="9"/>
      <c r="N77" s="9"/>
      <c r="O77" s="9"/>
    </row>
    <row r="78" spans="1:15" ht="16" thickBot="1">
      <c r="A78" s="194"/>
      <c r="B78" s="43"/>
      <c r="C78" s="43"/>
      <c r="D78" s="43"/>
      <c r="E78" s="65"/>
      <c r="F78" s="200" t="s">
        <v>87</v>
      </c>
      <c r="G78" s="67">
        <f>G10</f>
        <v>0</v>
      </c>
      <c r="H78" s="43"/>
      <c r="I78" s="9"/>
      <c r="J78" s="9"/>
      <c r="K78" s="9"/>
      <c r="L78" s="9"/>
      <c r="M78" s="9"/>
      <c r="N78" s="9"/>
      <c r="O78" s="9"/>
    </row>
    <row r="79" spans="1:15" s="210" customFormat="1" ht="16" thickBot="1">
      <c r="A79" s="36"/>
      <c r="B79" s="197"/>
      <c r="C79" s="198" t="s">
        <v>86</v>
      </c>
      <c r="D79" s="199">
        <f>D10+D24+D70+D77</f>
        <v>0</v>
      </c>
      <c r="E79" s="205"/>
      <c r="F79" s="206" t="s">
        <v>88</v>
      </c>
      <c r="G79" s="207">
        <f>SUM(G24,G45,G54,G59,G76)</f>
        <v>0</v>
      </c>
      <c r="H79" s="202"/>
      <c r="I79" s="208"/>
      <c r="J79" s="209"/>
      <c r="K79" s="209"/>
      <c r="L79" s="209"/>
      <c r="M79" s="209"/>
      <c r="N79" s="209"/>
      <c r="O79" s="209"/>
    </row>
    <row r="80" spans="1:15">
      <c r="A80" s="201"/>
      <c r="B80" s="202"/>
      <c r="C80" s="203"/>
      <c r="D80" s="204"/>
      <c r="E80" s="75"/>
      <c r="F80" s="36"/>
      <c r="G80" s="212"/>
      <c r="H80" s="43"/>
      <c r="I80" s="9"/>
      <c r="J80" s="9"/>
      <c r="K80" s="9"/>
      <c r="L80" s="9"/>
      <c r="M80" s="9"/>
      <c r="N80" s="9"/>
      <c r="O80" s="9"/>
    </row>
    <row r="81" spans="1:9">
      <c r="A81" s="43"/>
      <c r="B81" s="43"/>
      <c r="C81" s="43"/>
      <c r="D81" s="211"/>
    </row>
    <row r="82" spans="1:9">
      <c r="C82" s="213"/>
      <c r="D82" s="213"/>
    </row>
    <row r="83" spans="1:9">
      <c r="C83" s="213"/>
      <c r="D83" s="213"/>
      <c r="I83" s="60"/>
    </row>
    <row r="84" spans="1:9">
      <c r="C84" s="213"/>
      <c r="D84" s="213"/>
    </row>
    <row r="85" spans="1:9">
      <c r="A85" s="216"/>
      <c r="C85" s="87"/>
      <c r="D85" s="60"/>
    </row>
    <row r="86" spans="1:9">
      <c r="A86" s="216"/>
      <c r="C86" s="87"/>
    </row>
  </sheetData>
  <mergeCells count="9">
    <mergeCell ref="A56:D56"/>
    <mergeCell ref="A61:D61"/>
    <mergeCell ref="A72:D72"/>
    <mergeCell ref="B5:D5"/>
    <mergeCell ref="F5:G5"/>
    <mergeCell ref="A7:D7"/>
    <mergeCell ref="A11:D11"/>
    <mergeCell ref="A27:D27"/>
    <mergeCell ref="A47:D4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85" zoomScaleNormal="85" zoomScalePageLayoutView="85" workbookViewId="0">
      <selection sqref="A1:XFD1048576"/>
    </sheetView>
  </sheetViews>
  <sheetFormatPr baseColWidth="10" defaultColWidth="8.83203125" defaultRowHeight="13" x14ac:dyDescent="0"/>
  <cols>
    <col min="1" max="1" width="34.1640625" style="450" customWidth="1"/>
    <col min="2" max="2" width="18.6640625" style="450" customWidth="1"/>
    <col min="3" max="3" width="14.1640625" style="450" customWidth="1"/>
    <col min="4" max="4" width="13.83203125" style="450" customWidth="1"/>
    <col min="5" max="16384" width="8.83203125" style="450"/>
  </cols>
  <sheetData>
    <row r="1" spans="1:4">
      <c r="A1" s="450" t="str">
        <f>Revenue!A1</f>
        <v>VITAL BROOKLYN HOMEOWNERSHIP INITIATIVE</v>
      </c>
    </row>
    <row r="3" spans="1:4" ht="15">
      <c r="A3" s="1" t="s">
        <v>0</v>
      </c>
      <c r="B3" s="2"/>
      <c r="C3" s="2"/>
      <c r="D3" s="3"/>
    </row>
    <row r="4" spans="1:4" ht="15">
      <c r="A4" s="4"/>
      <c r="B4" s="5" t="s">
        <v>1</v>
      </c>
      <c r="C4" s="6" t="s">
        <v>2</v>
      </c>
      <c r="D4" s="7" t="s">
        <v>3</v>
      </c>
    </row>
    <row r="5" spans="1:4" ht="15">
      <c r="A5" s="8" t="s">
        <v>4</v>
      </c>
      <c r="B5" s="9"/>
      <c r="C5" s="10"/>
      <c r="D5" s="11"/>
    </row>
    <row r="6" spans="1:4" ht="15">
      <c r="A6" s="12" t="s">
        <v>227</v>
      </c>
      <c r="B6" s="24">
        <v>0</v>
      </c>
      <c r="C6" s="408" t="e">
        <f>B6/Revenue!E14</f>
        <v>#DIV/0!</v>
      </c>
      <c r="D6" s="15" t="e">
        <f>B6/$B$10</f>
        <v>#DIV/0!</v>
      </c>
    </row>
    <row r="7" spans="1:4" ht="15">
      <c r="A7" s="12" t="s">
        <v>5</v>
      </c>
      <c r="B7" s="24">
        <v>0</v>
      </c>
      <c r="C7" s="408" t="e">
        <f>B7/Revenue!E14</f>
        <v>#DIV/0!</v>
      </c>
      <c r="D7" s="15" t="e">
        <f>B7/$B$10</f>
        <v>#DIV/0!</v>
      </c>
    </row>
    <row r="8" spans="1:4" ht="15">
      <c r="A8" s="12" t="s">
        <v>208</v>
      </c>
      <c r="B8" s="24">
        <v>0</v>
      </c>
      <c r="C8" s="408" t="e">
        <f>B8/Revenue!E14</f>
        <v>#DIV/0!</v>
      </c>
      <c r="D8" s="15" t="e">
        <f>B8/$B$10</f>
        <v>#DIV/0!</v>
      </c>
    </row>
    <row r="9" spans="1:4" ht="16" thickBot="1">
      <c r="A9" s="12" t="s">
        <v>204</v>
      </c>
      <c r="B9" s="13">
        <f>Revenue!J40</f>
        <v>0</v>
      </c>
      <c r="C9" s="408" t="e">
        <f>B9/Revenue!$E$14</f>
        <v>#DIV/0!</v>
      </c>
      <c r="D9" s="15" t="e">
        <f>B9/$B$10</f>
        <v>#DIV/0!</v>
      </c>
    </row>
    <row r="10" spans="1:4" ht="16" thickBot="1">
      <c r="A10" s="16" t="s">
        <v>6</v>
      </c>
      <c r="B10" s="17">
        <f>SUM(B6:B9)</f>
        <v>0</v>
      </c>
      <c r="C10" s="18">
        <f>B10/[1]Revenue!$J$14</f>
        <v>0</v>
      </c>
      <c r="D10" s="19" t="e">
        <f>SUM(D6:D9)</f>
        <v>#DIV/0!</v>
      </c>
    </row>
    <row r="11" spans="1:4">
      <c r="A11" s="20" t="s">
        <v>7</v>
      </c>
      <c r="B11" s="21">
        <f>B10-B23</f>
        <v>0</v>
      </c>
      <c r="C11" s="14"/>
      <c r="D11" s="22"/>
    </row>
    <row r="12" spans="1:4" ht="15">
      <c r="A12" s="8" t="s">
        <v>237</v>
      </c>
      <c r="B12" s="9"/>
      <c r="C12" s="14"/>
      <c r="D12" s="23"/>
    </row>
    <row r="13" spans="1:4" ht="15">
      <c r="A13" s="12" t="s">
        <v>207</v>
      </c>
      <c r="B13" s="13">
        <f>Revenue!K38</f>
        <v>0</v>
      </c>
      <c r="C13" s="408" t="e">
        <f>B13/Revenue!$E$14</f>
        <v>#DIV/0!</v>
      </c>
      <c r="D13" s="15" t="e">
        <f>B13/B16</f>
        <v>#DIV/0!</v>
      </c>
    </row>
    <row r="14" spans="1:4" ht="15">
      <c r="A14" s="12" t="str">
        <f>A9</f>
        <v xml:space="preserve">Vital Brooklyn Homeownership </v>
      </c>
      <c r="B14" s="440">
        <f>Revenue!J40</f>
        <v>0</v>
      </c>
      <c r="C14" s="408" t="e">
        <f>B14/Revenue!$E$14</f>
        <v>#DIV/0!</v>
      </c>
      <c r="D14" s="15" t="e">
        <f>B14/$B$18</f>
        <v>#DIV/0!</v>
      </c>
    </row>
    <row r="15" spans="1:4" ht="16" thickBot="1">
      <c r="A15" s="12" t="s">
        <v>208</v>
      </c>
      <c r="B15" s="441">
        <v>0</v>
      </c>
      <c r="C15" s="408" t="e">
        <f>B15/Revenue!$E$14</f>
        <v>#DIV/0!</v>
      </c>
      <c r="D15" s="15" t="e">
        <f>B15/$B$18</f>
        <v>#DIV/0!</v>
      </c>
    </row>
    <row r="16" spans="1:4" ht="16" thickBot="1">
      <c r="A16" s="25" t="s">
        <v>8</v>
      </c>
      <c r="B16" s="17">
        <f>SUM(B13:B15)</f>
        <v>0</v>
      </c>
      <c r="C16" s="18" t="e">
        <f>SUM(C13:C15)</f>
        <v>#DIV/0!</v>
      </c>
      <c r="D16" s="19" t="e">
        <f>SUM(D13:D15)</f>
        <v>#DIV/0!</v>
      </c>
    </row>
    <row r="17" spans="1:4">
      <c r="A17" s="26" t="s">
        <v>7</v>
      </c>
      <c r="B17" s="27">
        <f>B16-B23</f>
        <v>0</v>
      </c>
      <c r="C17" s="14"/>
      <c r="D17" s="23"/>
    </row>
    <row r="18" spans="1:4" ht="15">
      <c r="A18" s="8" t="s">
        <v>9</v>
      </c>
      <c r="B18" s="28"/>
      <c r="C18" s="14"/>
      <c r="D18" s="23"/>
    </row>
    <row r="19" spans="1:4" ht="15">
      <c r="A19" s="12" t="s">
        <v>10</v>
      </c>
      <c r="B19" s="29">
        <f>'Development Budget'!D10</f>
        <v>0</v>
      </c>
      <c r="C19" s="408" t="e">
        <f>B19/Revenue!$E$14</f>
        <v>#DIV/0!</v>
      </c>
      <c r="D19" s="15" t="e">
        <f>B19/$B$25</f>
        <v>#DIV/0!</v>
      </c>
    </row>
    <row r="20" spans="1:4" ht="15">
      <c r="A20" s="12" t="s">
        <v>11</v>
      </c>
      <c r="B20" s="13">
        <f>'Development Budget'!D24</f>
        <v>0</v>
      </c>
      <c r="C20" s="408" t="e">
        <f>B20/Revenue!$E$14</f>
        <v>#DIV/0!</v>
      </c>
      <c r="D20" s="15" t="e">
        <f>B20/$B$25</f>
        <v>#DIV/0!</v>
      </c>
    </row>
    <row r="21" spans="1:4" ht="14.5" customHeight="1">
      <c r="A21" s="30" t="s">
        <v>12</v>
      </c>
      <c r="B21" s="13">
        <f>'Development Budget'!D70</f>
        <v>0</v>
      </c>
      <c r="C21" s="408" t="e">
        <f>B21/Revenue!$E$14</f>
        <v>#DIV/0!</v>
      </c>
      <c r="D21" s="15" t="e">
        <f>B21/$B$25</f>
        <v>#DIV/0!</v>
      </c>
    </row>
    <row r="22" spans="1:4" ht="15">
      <c r="A22" s="12" t="s">
        <v>13</v>
      </c>
      <c r="B22" s="13">
        <f>'Development Budget'!D77</f>
        <v>0</v>
      </c>
      <c r="C22" s="408" t="e">
        <f>B22/Revenue!$E$14</f>
        <v>#DIV/0!</v>
      </c>
      <c r="D22" s="15" t="e">
        <f>B22/$B$25</f>
        <v>#DIV/0!</v>
      </c>
    </row>
    <row r="23" spans="1:4" ht="16" thickBot="1">
      <c r="A23" s="31" t="s">
        <v>14</v>
      </c>
      <c r="B23" s="32">
        <f>SUM(B19:B22)</f>
        <v>0</v>
      </c>
      <c r="C23" s="33" t="e">
        <f>SUM(C19:C22)</f>
        <v>#DIV/0!</v>
      </c>
      <c r="D23" s="34" t="e">
        <f>SUM(D19:D22)</f>
        <v>#DIV/0!</v>
      </c>
    </row>
  </sheetData>
  <dataValidations count="1">
    <dataValidation type="list" allowBlank="1" showInputMessage="1" showErrorMessage="1" sqref="A14">
      <formula1>"[HCR Subsidy Type],HCR Subsidy: NCP,HCR Subsidy: SHOP,HCR Subsidy: MIHP,HCR Subsidy: Federal HTF,HCR Subsidy: PHP,HCR Subsidy: MPP,HCR Subsidy: HML,HCR Subsidy: MLLP,HCR Subsidy: HWF,HCR Subsidy: CIF"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8" workbookViewId="0">
      <selection activeCell="H52" sqref="H52"/>
    </sheetView>
  </sheetViews>
  <sheetFormatPr baseColWidth="10" defaultColWidth="8.83203125" defaultRowHeight="13" x14ac:dyDescent="0"/>
  <cols>
    <col min="1" max="1" width="8.83203125" style="450"/>
    <col min="2" max="2" width="3.33203125" style="450" customWidth="1"/>
    <col min="3" max="3" width="31.33203125" style="450" customWidth="1"/>
    <col min="4" max="4" width="16" style="450" customWidth="1"/>
    <col min="5" max="5" width="26.1640625" style="450" customWidth="1"/>
    <col min="6" max="6" width="15.6640625" style="450" customWidth="1"/>
    <col min="7" max="7" width="17.6640625" style="450" customWidth="1"/>
    <col min="8" max="8" width="15" style="450" customWidth="1"/>
    <col min="9" max="16384" width="8.83203125" style="450"/>
  </cols>
  <sheetData>
    <row r="1" spans="1:9">
      <c r="A1" s="450" t="str">
        <f>Revenue!A1</f>
        <v>VITAL BROOKLYN HOMEOWNERSHIP INITIATIVE</v>
      </c>
    </row>
    <row r="2" spans="1:9" s="451" customFormat="1" ht="15" customHeight="1">
      <c r="A2" s="510" t="s">
        <v>89</v>
      </c>
      <c r="B2" s="510"/>
      <c r="C2" s="510"/>
      <c r="D2" s="510"/>
      <c r="E2" s="510"/>
      <c r="F2" s="510"/>
      <c r="G2" s="510"/>
      <c r="H2" s="510"/>
    </row>
    <row r="3" spans="1:9" s="221" customFormat="1" ht="46.5" customHeight="1" thickBot="1">
      <c r="A3" s="511" t="s">
        <v>90</v>
      </c>
      <c r="B3" s="511"/>
      <c r="C3" s="511"/>
      <c r="D3" s="217" t="s">
        <v>91</v>
      </c>
      <c r="E3" s="218" t="s">
        <v>92</v>
      </c>
      <c r="F3" s="219" t="s">
        <v>201</v>
      </c>
      <c r="G3" s="219" t="s">
        <v>93</v>
      </c>
      <c r="H3" s="219" t="s">
        <v>94</v>
      </c>
      <c r="I3" s="220"/>
    </row>
    <row r="4" spans="1:9" s="458" customFormat="1" ht="15">
      <c r="A4" s="452"/>
      <c r="B4" s="453"/>
      <c r="C4" s="222"/>
      <c r="D4" s="454"/>
      <c r="E4" s="455"/>
      <c r="F4" s="456"/>
      <c r="G4" s="456"/>
      <c r="H4" s="457"/>
      <c r="I4" s="452"/>
    </row>
    <row r="5" spans="1:9" s="458" customFormat="1" ht="15">
      <c r="A5" s="452"/>
      <c r="B5" s="453"/>
      <c r="C5" s="223" t="s">
        <v>95</v>
      </c>
      <c r="D5" s="459"/>
      <c r="E5" s="459"/>
      <c r="F5" s="224"/>
      <c r="G5" s="224"/>
      <c r="H5" s="416"/>
      <c r="I5" s="452"/>
    </row>
    <row r="6" spans="1:9" s="458" customFormat="1" ht="15">
      <c r="A6" s="452"/>
      <c r="B6" s="453"/>
      <c r="C6" s="225" t="s">
        <v>47</v>
      </c>
      <c r="D6" s="226" t="s">
        <v>96</v>
      </c>
      <c r="E6" s="227"/>
      <c r="F6" s="228"/>
      <c r="G6" s="420" t="e">
        <f>F6/Revenue!G14</f>
        <v>#DIV/0!</v>
      </c>
      <c r="H6" s="417">
        <f>F6/12</f>
        <v>0</v>
      </c>
      <c r="I6" s="452"/>
    </row>
    <row r="7" spans="1:9" s="458" customFormat="1" ht="15">
      <c r="A7" s="452"/>
      <c r="B7" s="453"/>
      <c r="C7" s="225" t="s">
        <v>45</v>
      </c>
      <c r="D7" s="226" t="s">
        <v>96</v>
      </c>
      <c r="E7" s="227"/>
      <c r="F7" s="228"/>
      <c r="G7" s="421" t="e">
        <f>F7/Revenue!G14</f>
        <v>#DIV/0!</v>
      </c>
      <c r="H7" s="417">
        <f>F7/12</f>
        <v>0</v>
      </c>
      <c r="I7" s="452"/>
    </row>
    <row r="8" spans="1:9" s="458" customFormat="1" ht="18.75" customHeight="1">
      <c r="A8" s="452"/>
      <c r="B8" s="453"/>
      <c r="C8" s="230" t="s">
        <v>97</v>
      </c>
      <c r="D8" s="231"/>
      <c r="E8" s="460"/>
      <c r="F8" s="232">
        <f t="shared" ref="F8" si="0">SUM(F6:F7)</f>
        <v>0</v>
      </c>
      <c r="G8" s="422" t="e">
        <f t="shared" ref="G8" si="1">SUM(G6:G7)</f>
        <v>#DIV/0!</v>
      </c>
      <c r="H8" s="417">
        <f>SUM(H6:H7)</f>
        <v>0</v>
      </c>
      <c r="I8" s="452"/>
    </row>
    <row r="9" spans="1:9" s="458" customFormat="1" ht="15">
      <c r="A9" s="452"/>
      <c r="B9" s="453"/>
      <c r="C9" s="234" t="s">
        <v>98</v>
      </c>
      <c r="D9" s="235"/>
      <c r="E9" s="236"/>
      <c r="F9" s="229"/>
      <c r="G9" s="423"/>
      <c r="H9" s="417"/>
      <c r="I9" s="452"/>
    </row>
    <row r="10" spans="1:9" s="458" customFormat="1" ht="15">
      <c r="A10" s="452"/>
      <c r="B10" s="453"/>
      <c r="C10" s="225" t="s">
        <v>99</v>
      </c>
      <c r="D10" s="226" t="s">
        <v>96</v>
      </c>
      <c r="E10" s="227"/>
      <c r="F10" s="228"/>
      <c r="G10" s="420" t="e">
        <f>F10/Revenue!G14</f>
        <v>#DIV/0!</v>
      </c>
      <c r="H10" s="417">
        <f>F10/12</f>
        <v>0</v>
      </c>
      <c r="I10" s="452"/>
    </row>
    <row r="11" spans="1:9" s="458" customFormat="1" ht="15">
      <c r="A11" s="452"/>
      <c r="B11" s="453"/>
      <c r="C11" s="225" t="s">
        <v>100</v>
      </c>
      <c r="D11" s="226" t="s">
        <v>96</v>
      </c>
      <c r="E11" s="227" t="s">
        <v>24</v>
      </c>
      <c r="F11" s="228"/>
      <c r="G11" s="420" t="e">
        <f>F11/Revenue!G14</f>
        <v>#DIV/0!</v>
      </c>
      <c r="H11" s="417">
        <f t="shared" ref="H11:H14" si="2">F11/12</f>
        <v>0</v>
      </c>
      <c r="I11" s="452"/>
    </row>
    <row r="12" spans="1:9" s="458" customFormat="1" ht="30">
      <c r="A12" s="452"/>
      <c r="B12" s="453"/>
      <c r="C12" s="225" t="s">
        <v>101</v>
      </c>
      <c r="D12" s="226" t="s">
        <v>96</v>
      </c>
      <c r="E12" s="227"/>
      <c r="F12" s="228"/>
      <c r="G12" s="420" t="e">
        <f>F12/Revenue!G14</f>
        <v>#DIV/0!</v>
      </c>
      <c r="H12" s="417">
        <f t="shared" si="2"/>
        <v>0</v>
      </c>
      <c r="I12" s="452"/>
    </row>
    <row r="13" spans="1:9" s="458" customFormat="1" ht="30">
      <c r="A13" s="452"/>
      <c r="B13" s="453"/>
      <c r="C13" s="225" t="s">
        <v>102</v>
      </c>
      <c r="D13" s="226" t="s">
        <v>96</v>
      </c>
      <c r="E13" s="227" t="s">
        <v>202</v>
      </c>
      <c r="F13" s="228"/>
      <c r="G13" s="420" t="e">
        <f>F13/Revenue!G14</f>
        <v>#DIV/0!</v>
      </c>
      <c r="H13" s="417">
        <f t="shared" si="2"/>
        <v>0</v>
      </c>
      <c r="I13" s="452"/>
    </row>
    <row r="14" spans="1:9" s="458" customFormat="1" ht="15" customHeight="1">
      <c r="A14" s="452"/>
      <c r="B14" s="453"/>
      <c r="C14" s="225" t="s">
        <v>103</v>
      </c>
      <c r="D14" s="226" t="s">
        <v>96</v>
      </c>
      <c r="E14" s="227"/>
      <c r="F14" s="228"/>
      <c r="G14" s="420" t="e">
        <f>F14/Revenue!G14</f>
        <v>#DIV/0!</v>
      </c>
      <c r="H14" s="417">
        <f t="shared" si="2"/>
        <v>0</v>
      </c>
      <c r="I14" s="452"/>
    </row>
    <row r="15" spans="1:9" s="458" customFormat="1" ht="19.5" customHeight="1">
      <c r="A15" s="452"/>
      <c r="B15" s="453"/>
      <c r="C15" s="230" t="s">
        <v>104</v>
      </c>
      <c r="D15" s="237"/>
      <c r="E15" s="460"/>
      <c r="F15" s="232">
        <f t="shared" ref="F15" si="3">SUM(F10:F14)</f>
        <v>0</v>
      </c>
      <c r="G15" s="422" t="e">
        <f t="shared" ref="G15" si="4">SUM(G10:G14)</f>
        <v>#DIV/0!</v>
      </c>
      <c r="H15" s="417">
        <f>SUM(H10:H14)</f>
        <v>0</v>
      </c>
      <c r="I15" s="452"/>
    </row>
    <row r="16" spans="1:9" s="458" customFormat="1" ht="18.75" customHeight="1">
      <c r="A16" s="452"/>
      <c r="B16" s="453"/>
      <c r="C16" s="238" t="s">
        <v>105</v>
      </c>
      <c r="D16" s="239" t="s">
        <v>106</v>
      </c>
      <c r="E16" s="240">
        <v>0</v>
      </c>
      <c r="F16" s="241"/>
      <c r="G16" s="424" t="e">
        <f>F16/Revenue!G14</f>
        <v>#DIV/0!</v>
      </c>
      <c r="H16" s="417">
        <f>F16/12</f>
        <v>0</v>
      </c>
      <c r="I16" s="452"/>
    </row>
    <row r="17" spans="1:9" s="458" customFormat="1" ht="15">
      <c r="A17" s="452"/>
      <c r="B17" s="453"/>
      <c r="C17" s="234" t="s">
        <v>51</v>
      </c>
      <c r="D17" s="235"/>
      <c r="E17" s="236"/>
      <c r="F17" s="229"/>
      <c r="G17" s="423"/>
      <c r="H17" s="417"/>
      <c r="I17" s="452"/>
    </row>
    <row r="18" spans="1:9" s="458" customFormat="1" ht="15">
      <c r="A18" s="452"/>
      <c r="B18" s="453"/>
      <c r="C18" s="225" t="s">
        <v>107</v>
      </c>
      <c r="D18" s="226" t="s">
        <v>96</v>
      </c>
      <c r="E18" s="227"/>
      <c r="F18" s="228"/>
      <c r="G18" s="420" t="e">
        <f>F18/Revenue!G14</f>
        <v>#DIV/0!</v>
      </c>
      <c r="H18" s="417">
        <f t="shared" ref="H18:H25" si="5">F18/12</f>
        <v>0</v>
      </c>
      <c r="I18" s="452"/>
    </row>
    <row r="19" spans="1:9" s="458" customFormat="1" ht="15">
      <c r="A19" s="452"/>
      <c r="B19" s="453"/>
      <c r="C19" s="225" t="s">
        <v>108</v>
      </c>
      <c r="D19" s="226" t="s">
        <v>96</v>
      </c>
      <c r="E19" s="227"/>
      <c r="F19" s="228"/>
      <c r="G19" s="420" t="e">
        <f>F19/Revenue!G14</f>
        <v>#DIV/0!</v>
      </c>
      <c r="H19" s="417">
        <f t="shared" si="5"/>
        <v>0</v>
      </c>
      <c r="I19" s="452"/>
    </row>
    <row r="20" spans="1:9" s="458" customFormat="1" ht="15">
      <c r="A20" s="452"/>
      <c r="B20" s="453"/>
      <c r="C20" s="225" t="s">
        <v>109</v>
      </c>
      <c r="D20" s="226" t="s">
        <v>96</v>
      </c>
      <c r="E20" s="227"/>
      <c r="F20" s="228"/>
      <c r="G20" s="420" t="e">
        <f>F20/Revenue!G14</f>
        <v>#DIV/0!</v>
      </c>
      <c r="H20" s="417">
        <f t="shared" si="5"/>
        <v>0</v>
      </c>
      <c r="I20" s="452"/>
    </row>
    <row r="21" spans="1:9" s="458" customFormat="1" ht="15">
      <c r="A21" s="452"/>
      <c r="B21" s="453"/>
      <c r="C21" s="225" t="s">
        <v>110</v>
      </c>
      <c r="D21" s="226" t="s">
        <v>96</v>
      </c>
      <c r="E21" s="227"/>
      <c r="F21" s="228"/>
      <c r="G21" s="420" t="e">
        <f>F21/Revenue!G14</f>
        <v>#DIV/0!</v>
      </c>
      <c r="H21" s="417">
        <f t="shared" si="5"/>
        <v>0</v>
      </c>
      <c r="I21" s="452"/>
    </row>
    <row r="22" spans="1:9" s="458" customFormat="1" ht="15">
      <c r="A22" s="452"/>
      <c r="B22" s="453"/>
      <c r="C22" s="225" t="s">
        <v>111</v>
      </c>
      <c r="D22" s="226" t="s">
        <v>96</v>
      </c>
      <c r="E22" s="227"/>
      <c r="F22" s="228"/>
      <c r="G22" s="420" t="e">
        <f>F22/Revenue!G14</f>
        <v>#DIV/0!</v>
      </c>
      <c r="H22" s="417">
        <f t="shared" si="5"/>
        <v>0</v>
      </c>
      <c r="I22" s="452"/>
    </row>
    <row r="23" spans="1:9" s="458" customFormat="1" ht="15">
      <c r="A23" s="452"/>
      <c r="B23" s="453"/>
      <c r="C23" s="225" t="s">
        <v>112</v>
      </c>
      <c r="D23" s="226" t="s">
        <v>96</v>
      </c>
      <c r="E23" s="227"/>
      <c r="F23" s="228"/>
      <c r="G23" s="420" t="e">
        <f>F23/Revenue!G14</f>
        <v>#DIV/0!</v>
      </c>
      <c r="H23" s="417">
        <f t="shared" si="5"/>
        <v>0</v>
      </c>
      <c r="I23" s="452"/>
    </row>
    <row r="24" spans="1:9" s="458" customFormat="1" ht="15">
      <c r="A24" s="452"/>
      <c r="B24" s="453"/>
      <c r="C24" s="225" t="s">
        <v>229</v>
      </c>
      <c r="D24" s="226" t="s">
        <v>137</v>
      </c>
      <c r="E24" s="227" t="s">
        <v>203</v>
      </c>
      <c r="F24" s="228">
        <f>400*Revenue!E14</f>
        <v>0</v>
      </c>
      <c r="G24" s="420" t="e">
        <f>F24/Revenue!L1</f>
        <v>#DIV/0!</v>
      </c>
      <c r="H24" s="417">
        <f t="shared" si="5"/>
        <v>0</v>
      </c>
      <c r="I24" s="452"/>
    </row>
    <row r="25" spans="1:9" s="458" customFormat="1" ht="24">
      <c r="A25" s="452"/>
      <c r="B25" s="453"/>
      <c r="C25" s="225" t="s">
        <v>113</v>
      </c>
      <c r="D25" s="226" t="s">
        <v>96</v>
      </c>
      <c r="E25" s="227" t="s">
        <v>114</v>
      </c>
      <c r="F25" s="228"/>
      <c r="G25" s="420" t="e">
        <f>F25/Revenue!G14</f>
        <v>#DIV/0!</v>
      </c>
      <c r="H25" s="417">
        <f t="shared" si="5"/>
        <v>0</v>
      </c>
      <c r="I25" s="452"/>
    </row>
    <row r="26" spans="1:9" s="458" customFormat="1" ht="15">
      <c r="A26" s="452"/>
      <c r="B26" s="453"/>
      <c r="C26" s="230" t="s">
        <v>115</v>
      </c>
      <c r="D26" s="237"/>
      <c r="E26" s="460"/>
      <c r="F26" s="232">
        <f t="shared" ref="F26" si="6">SUM(F18:F25)</f>
        <v>0</v>
      </c>
      <c r="G26" s="422" t="e">
        <f t="shared" ref="G26" si="7">SUM(G18:G25)</f>
        <v>#DIV/0!</v>
      </c>
      <c r="H26" s="418">
        <f t="shared" ref="H26" si="8">SUM(H18:H25)</f>
        <v>0</v>
      </c>
      <c r="I26" s="452"/>
    </row>
    <row r="27" spans="1:9" s="458" customFormat="1" ht="15">
      <c r="A27" s="452"/>
      <c r="B27" s="453"/>
      <c r="C27" s="234" t="s">
        <v>116</v>
      </c>
      <c r="D27" s="235"/>
      <c r="E27" s="236"/>
      <c r="F27" s="229"/>
      <c r="G27" s="423"/>
      <c r="H27" s="417"/>
      <c r="I27" s="452"/>
    </row>
    <row r="28" spans="1:9" s="458" customFormat="1" ht="32.5" customHeight="1">
      <c r="A28" s="452"/>
      <c r="B28" s="453"/>
      <c r="C28" s="225" t="s">
        <v>117</v>
      </c>
      <c r="D28" s="226" t="s">
        <v>96</v>
      </c>
      <c r="E28" s="227"/>
      <c r="F28" s="228"/>
      <c r="G28" s="420" t="e">
        <f>F28/Revenue!G14</f>
        <v>#DIV/0!</v>
      </c>
      <c r="H28" s="417">
        <f t="shared" ref="H28:H37" si="9">F28/12</f>
        <v>0</v>
      </c>
      <c r="I28" s="452"/>
    </row>
    <row r="29" spans="1:9" s="458" customFormat="1" ht="15">
      <c r="A29" s="452"/>
      <c r="B29" s="453"/>
      <c r="C29" s="225" t="s">
        <v>118</v>
      </c>
      <c r="D29" s="226" t="s">
        <v>96</v>
      </c>
      <c r="E29" s="227"/>
      <c r="F29" s="228"/>
      <c r="G29" s="420" t="e">
        <f>F29/Revenue!G14</f>
        <v>#DIV/0!</v>
      </c>
      <c r="H29" s="417">
        <f t="shared" si="9"/>
        <v>0</v>
      </c>
      <c r="I29" s="452"/>
    </row>
    <row r="30" spans="1:9" s="458" customFormat="1" ht="15">
      <c r="A30" s="452"/>
      <c r="B30" s="453"/>
      <c r="C30" s="225" t="s">
        <v>119</v>
      </c>
      <c r="D30" s="226" t="s">
        <v>96</v>
      </c>
      <c r="E30" s="227" t="s">
        <v>24</v>
      </c>
      <c r="F30" s="228"/>
      <c r="G30" s="420" t="e">
        <f>F30/Revenue!G14</f>
        <v>#DIV/0!</v>
      </c>
      <c r="H30" s="417">
        <f t="shared" si="9"/>
        <v>0</v>
      </c>
      <c r="I30" s="452"/>
    </row>
    <row r="31" spans="1:9" s="458" customFormat="1" ht="15">
      <c r="A31" s="452"/>
      <c r="B31" s="453"/>
      <c r="C31" s="225" t="s">
        <v>120</v>
      </c>
      <c r="D31" s="226" t="s">
        <v>96</v>
      </c>
      <c r="E31" s="227"/>
      <c r="F31" s="228"/>
      <c r="G31" s="420" t="e">
        <f>F31/Revenue!G14</f>
        <v>#DIV/0!</v>
      </c>
      <c r="H31" s="417">
        <f t="shared" si="9"/>
        <v>0</v>
      </c>
      <c r="I31" s="452"/>
    </row>
    <row r="32" spans="1:9" s="458" customFormat="1" ht="30">
      <c r="A32" s="452"/>
      <c r="B32" s="453"/>
      <c r="C32" s="225" t="s">
        <v>121</v>
      </c>
      <c r="D32" s="226" t="s">
        <v>96</v>
      </c>
      <c r="E32" s="227"/>
      <c r="F32" s="228"/>
      <c r="G32" s="420" t="e">
        <f>F32/Revenue!G14</f>
        <v>#DIV/0!</v>
      </c>
      <c r="H32" s="417">
        <f t="shared" si="9"/>
        <v>0</v>
      </c>
      <c r="I32" s="452"/>
    </row>
    <row r="33" spans="1:9" s="458" customFormat="1" ht="15" customHeight="1">
      <c r="A33" s="452"/>
      <c r="B33" s="453"/>
      <c r="C33" s="225" t="s">
        <v>122</v>
      </c>
      <c r="D33" s="226" t="s">
        <v>96</v>
      </c>
      <c r="E33" s="227"/>
      <c r="F33" s="228"/>
      <c r="G33" s="420" t="e">
        <f>F33/Revenue!G14</f>
        <v>#DIV/0!</v>
      </c>
      <c r="H33" s="417">
        <f t="shared" si="9"/>
        <v>0</v>
      </c>
      <c r="I33" s="452"/>
    </row>
    <row r="34" spans="1:9" s="458" customFormat="1" ht="15">
      <c r="A34" s="452"/>
      <c r="B34" s="453"/>
      <c r="C34" s="225" t="s">
        <v>123</v>
      </c>
      <c r="D34" s="226" t="s">
        <v>96</v>
      </c>
      <c r="E34" s="227" t="s">
        <v>24</v>
      </c>
      <c r="F34" s="228"/>
      <c r="G34" s="420" t="e">
        <f>F34/Revenue!G14</f>
        <v>#DIV/0!</v>
      </c>
      <c r="H34" s="417">
        <f t="shared" si="9"/>
        <v>0</v>
      </c>
      <c r="I34" s="452"/>
    </row>
    <row r="35" spans="1:9" s="458" customFormat="1" ht="18" customHeight="1">
      <c r="A35" s="452"/>
      <c r="B35" s="453"/>
      <c r="C35" s="225" t="s">
        <v>124</v>
      </c>
      <c r="D35" s="226" t="s">
        <v>96</v>
      </c>
      <c r="E35" s="227"/>
      <c r="F35" s="228"/>
      <c r="G35" s="420" t="e">
        <f>F35/Revenue!G14</f>
        <v>#DIV/0!</v>
      </c>
      <c r="H35" s="417">
        <f t="shared" si="9"/>
        <v>0</v>
      </c>
      <c r="I35" s="452"/>
    </row>
    <row r="36" spans="1:9" s="458" customFormat="1" ht="15">
      <c r="A36" s="452"/>
      <c r="B36" s="453"/>
      <c r="C36" s="225" t="s">
        <v>125</v>
      </c>
      <c r="D36" s="226" t="s">
        <v>96</v>
      </c>
      <c r="E36" s="227" t="s">
        <v>24</v>
      </c>
      <c r="F36" s="228"/>
      <c r="G36" s="420" t="e">
        <f>F36/Revenue!G14</f>
        <v>#DIV/0!</v>
      </c>
      <c r="H36" s="417">
        <f t="shared" si="9"/>
        <v>0</v>
      </c>
      <c r="I36" s="452"/>
    </row>
    <row r="37" spans="1:9" s="458" customFormat="1" ht="48">
      <c r="A37" s="452"/>
      <c r="B37" s="453"/>
      <c r="C37" s="225" t="s">
        <v>126</v>
      </c>
      <c r="D37" s="226" t="s">
        <v>96</v>
      </c>
      <c r="E37" s="227" t="s">
        <v>127</v>
      </c>
      <c r="F37" s="228"/>
      <c r="G37" s="420" t="e">
        <f>F37/Revenue!G14</f>
        <v>#DIV/0!</v>
      </c>
      <c r="H37" s="417">
        <f t="shared" si="9"/>
        <v>0</v>
      </c>
      <c r="I37" s="452"/>
    </row>
    <row r="38" spans="1:9" s="458" customFormat="1" ht="15">
      <c r="A38" s="452"/>
      <c r="B38" s="453"/>
      <c r="C38" s="242" t="s">
        <v>128</v>
      </c>
      <c r="D38" s="243"/>
      <c r="E38" s="460"/>
      <c r="F38" s="233">
        <f>SUM(F28:F37)</f>
        <v>0</v>
      </c>
      <c r="G38" s="425" t="e">
        <f>SUM(G28:G37)</f>
        <v>#DIV/0!</v>
      </c>
      <c r="H38" s="417">
        <f>SUM(H28:H37)</f>
        <v>0</v>
      </c>
      <c r="I38" s="452"/>
    </row>
    <row r="39" spans="1:9" s="463" customFormat="1" ht="24" customHeight="1">
      <c r="A39" s="392"/>
      <c r="B39" s="461"/>
      <c r="C39" s="244" t="s">
        <v>129</v>
      </c>
      <c r="D39" s="245"/>
      <c r="E39" s="462"/>
      <c r="F39" s="246">
        <f>F15+F16+F26+F38+F8</f>
        <v>0</v>
      </c>
      <c r="G39" s="426" t="e">
        <f>G15+G16+G26+G38+G8</f>
        <v>#DIV/0!</v>
      </c>
      <c r="H39" s="417">
        <f>SUM(H38,H26,H16,H15,H8)</f>
        <v>0</v>
      </c>
      <c r="I39" s="392"/>
    </row>
    <row r="40" spans="1:9" s="458" customFormat="1" ht="15">
      <c r="B40" s="464"/>
      <c r="C40" s="247" t="s">
        <v>130</v>
      </c>
      <c r="D40" s="248"/>
      <c r="E40" s="465"/>
      <c r="F40" s="249">
        <f>F39-F8</f>
        <v>0</v>
      </c>
      <c r="G40" s="427" t="e">
        <f>G39-G8</f>
        <v>#DIV/0!</v>
      </c>
      <c r="H40" s="417">
        <f>F40/12</f>
        <v>0</v>
      </c>
    </row>
    <row r="41" spans="1:9" s="458" customFormat="1" ht="16" thickBot="1">
      <c r="B41" s="464"/>
      <c r="C41" s="250" t="s">
        <v>131</v>
      </c>
      <c r="D41" s="251"/>
      <c r="E41" s="466"/>
      <c r="F41" s="252">
        <f>F40-F26</f>
        <v>0</v>
      </c>
      <c r="G41" s="428" t="e">
        <f>G40-G26</f>
        <v>#DIV/0!</v>
      </c>
      <c r="H41" s="417">
        <f>F41/12</f>
        <v>0</v>
      </c>
    </row>
    <row r="42" spans="1:9" s="458" customFormat="1" ht="15">
      <c r="B42" s="464"/>
      <c r="C42" s="253" t="s">
        <v>132</v>
      </c>
      <c r="D42" s="467"/>
      <c r="E42" s="254"/>
      <c r="F42" s="255"/>
      <c r="G42" s="429"/>
      <c r="H42" s="419"/>
    </row>
    <row r="43" spans="1:9" s="458" customFormat="1" ht="15">
      <c r="B43" s="464"/>
      <c r="C43" s="256" t="s">
        <v>133</v>
      </c>
      <c r="D43" s="226" t="s">
        <v>96</v>
      </c>
      <c r="E43" s="227" t="s">
        <v>24</v>
      </c>
      <c r="F43" s="228"/>
      <c r="G43" s="420" t="e">
        <f>F43/Revenue!G14</f>
        <v>#DIV/0!</v>
      </c>
      <c r="H43" s="417">
        <f>F43/12</f>
        <v>0</v>
      </c>
    </row>
    <row r="44" spans="1:9" s="458" customFormat="1" ht="15">
      <c r="B44" s="464"/>
      <c r="C44" s="257" t="s">
        <v>134</v>
      </c>
      <c r="D44" s="226" t="s">
        <v>96</v>
      </c>
      <c r="E44" s="227"/>
      <c r="F44" s="228"/>
      <c r="G44" s="420" t="e">
        <f>F44/Revenue!G14</f>
        <v>#DIV/0!</v>
      </c>
      <c r="H44" s="417">
        <f>F44/12</f>
        <v>0</v>
      </c>
    </row>
    <row r="45" spans="1:9" s="458" customFormat="1" ht="15">
      <c r="B45" s="464"/>
      <c r="C45" s="242" t="s">
        <v>135</v>
      </c>
      <c r="D45" s="258"/>
      <c r="E45" s="242"/>
      <c r="F45" s="233">
        <f t="shared" ref="F45" si="10">SUM(F43:F44)</f>
        <v>0</v>
      </c>
      <c r="G45" s="425" t="e">
        <f t="shared" ref="G45" si="11">SUM(G43:G44)</f>
        <v>#DIV/0!</v>
      </c>
      <c r="H45" s="417">
        <f>F45/12</f>
        <v>0</v>
      </c>
    </row>
    <row r="46" spans="1:9" s="458" customFormat="1" ht="27.75" customHeight="1">
      <c r="B46" s="464"/>
      <c r="C46" s="259" t="s">
        <v>136</v>
      </c>
      <c r="D46" s="258"/>
      <c r="E46" s="242"/>
      <c r="F46" s="232">
        <f t="shared" ref="F46" si="12">F39+F45</f>
        <v>0</v>
      </c>
      <c r="G46" s="422" t="e">
        <f t="shared" ref="G46" si="13">G39+G45</f>
        <v>#DIV/0!</v>
      </c>
      <c r="H46" s="417">
        <f>F46/12</f>
        <v>0</v>
      </c>
    </row>
    <row r="47" spans="1:9" s="458" customFormat="1" ht="27.75" customHeight="1">
      <c r="B47" s="464"/>
      <c r="C47" s="259"/>
      <c r="D47" s="258"/>
      <c r="E47" s="242"/>
      <c r="F47" s="232"/>
      <c r="G47" s="232"/>
      <c r="H47" s="229"/>
    </row>
    <row r="48" spans="1:9" s="458" customFormat="1" ht="15">
      <c r="B48" s="464"/>
      <c r="C48" s="409" t="s">
        <v>209</v>
      </c>
      <c r="D48" s="409"/>
      <c r="E48" s="409"/>
      <c r="F48" s="410"/>
      <c r="G48" s="412" t="s">
        <v>143</v>
      </c>
      <c r="H48" s="413" t="e">
        <f>G46*Revenue!F8</f>
        <v>#DIV/0!</v>
      </c>
    </row>
    <row r="49" spans="3:8">
      <c r="C49" s="468" t="s">
        <v>230</v>
      </c>
      <c r="D49" s="469"/>
      <c r="E49" s="469"/>
      <c r="F49" s="469"/>
      <c r="G49" s="414" t="s">
        <v>210</v>
      </c>
      <c r="H49" s="490" t="e">
        <f>G46*Revenue!F9</f>
        <v>#DIV/0!</v>
      </c>
    </row>
    <row r="50" spans="3:8">
      <c r="C50" s="469"/>
      <c r="D50" s="469"/>
      <c r="E50" s="469"/>
      <c r="F50" s="469"/>
      <c r="G50" s="414" t="s">
        <v>211</v>
      </c>
      <c r="H50" s="490" t="e">
        <f>G46*Revenue!F10</f>
        <v>#DIV/0!</v>
      </c>
    </row>
    <row r="51" spans="3:8">
      <c r="C51" s="469"/>
      <c r="D51" s="469"/>
      <c r="E51" s="469"/>
      <c r="F51" s="469"/>
      <c r="G51" s="414" t="s">
        <v>212</v>
      </c>
      <c r="H51" s="490" t="e">
        <f>G46*Revenue!F11</f>
        <v>#DIV/0!</v>
      </c>
    </row>
  </sheetData>
  <mergeCells count="2">
    <mergeCell ref="A2:H2"/>
    <mergeCell ref="A3:C3"/>
  </mergeCells>
  <dataValidations count="1">
    <dataValidation type="list" allowBlank="1" showInputMessage="1" showErrorMessage="1" sqref="D43:D44 D16 D10:D14 D6:D8 D18:D25 D28:D37">
      <formula1>"per total project, per unit, per square foot, percent of EGI"</formula1>
    </dataValidation>
  </dataValidation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4" sqref="D4"/>
    </sheetView>
  </sheetViews>
  <sheetFormatPr baseColWidth="10" defaultColWidth="8.83203125" defaultRowHeight="13" x14ac:dyDescent="0"/>
  <cols>
    <col min="1" max="1" width="8.83203125" style="450"/>
    <col min="2" max="2" width="3.83203125" style="450" customWidth="1"/>
    <col min="3" max="3" width="44.5" style="450" customWidth="1"/>
    <col min="4" max="4" width="13.6640625" style="450" customWidth="1"/>
    <col min="5" max="5" width="16.6640625" style="450" customWidth="1"/>
    <col min="6" max="6" width="18" style="450" customWidth="1"/>
    <col min="7" max="7" width="8.83203125" style="450"/>
    <col min="8" max="8" width="18.33203125" style="450" customWidth="1"/>
    <col min="9" max="9" width="14.1640625" style="450" customWidth="1"/>
    <col min="10" max="16384" width="8.83203125" style="450"/>
  </cols>
  <sheetData>
    <row r="1" spans="1:9">
      <c r="A1" s="450" t="str">
        <f>Revenue!A1</f>
        <v>VITAL BROOKLYN HOMEOWNERSHIP INITIATIVE</v>
      </c>
    </row>
    <row r="2" spans="1:9">
      <c r="A2" s="411" t="s">
        <v>213</v>
      </c>
      <c r="H2" s="470" t="s">
        <v>231</v>
      </c>
    </row>
    <row r="3" spans="1:9">
      <c r="D3" s="450" t="s">
        <v>218</v>
      </c>
      <c r="E3" s="450" t="s">
        <v>219</v>
      </c>
      <c r="F3" s="450" t="s">
        <v>220</v>
      </c>
      <c r="H3" s="470" t="s">
        <v>233</v>
      </c>
      <c r="I3" s="471">
        <v>102400</v>
      </c>
    </row>
    <row r="4" spans="1:9">
      <c r="C4" s="450" t="s">
        <v>221</v>
      </c>
      <c r="D4" s="472">
        <v>0</v>
      </c>
      <c r="E4" s="472">
        <v>0</v>
      </c>
      <c r="F4" s="472">
        <v>0</v>
      </c>
      <c r="H4" s="470" t="s">
        <v>232</v>
      </c>
      <c r="I4" s="473">
        <v>53125</v>
      </c>
    </row>
    <row r="5" spans="1:9">
      <c r="C5" s="450" t="s">
        <v>216</v>
      </c>
      <c r="D5" s="474">
        <f>D4/I3</f>
        <v>0</v>
      </c>
      <c r="E5" s="474">
        <f>E4/I3</f>
        <v>0</v>
      </c>
      <c r="F5" s="474">
        <f>F4/I3</f>
        <v>0</v>
      </c>
    </row>
    <row r="6" spans="1:9">
      <c r="C6" s="450" t="s">
        <v>217</v>
      </c>
      <c r="D6" s="474">
        <f>D4/I4</f>
        <v>0</v>
      </c>
      <c r="E6" s="474">
        <f>E4/I4</f>
        <v>0</v>
      </c>
      <c r="F6" s="474">
        <f>F4/I4</f>
        <v>0</v>
      </c>
    </row>
    <row r="7" spans="1:9">
      <c r="C7" s="450" t="s">
        <v>214</v>
      </c>
      <c r="D7" s="415">
        <v>0</v>
      </c>
      <c r="E7" s="415">
        <v>0</v>
      </c>
      <c r="F7" s="415">
        <v>0</v>
      </c>
      <c r="G7" s="512"/>
      <c r="H7" s="513"/>
      <c r="I7" s="513"/>
    </row>
    <row r="8" spans="1:9">
      <c r="D8" s="475"/>
      <c r="E8" s="475"/>
      <c r="F8" s="475"/>
      <c r="G8" s="512"/>
      <c r="H8" s="513"/>
      <c r="I8" s="513"/>
    </row>
    <row r="9" spans="1:9">
      <c r="C9" s="476" t="s">
        <v>215</v>
      </c>
      <c r="D9" s="477">
        <f>(D4/12)*0.35</f>
        <v>0</v>
      </c>
      <c r="E9" s="478">
        <f>(E4/12)*0.35</f>
        <v>0</v>
      </c>
      <c r="F9" s="478">
        <f>(F4/12)*0.35</f>
        <v>0</v>
      </c>
      <c r="G9" s="512"/>
      <c r="H9" s="513"/>
      <c r="I9" s="513"/>
    </row>
    <row r="10" spans="1:9" ht="41.5" customHeight="1">
      <c r="C10" s="479" t="s">
        <v>234</v>
      </c>
      <c r="D10" s="480"/>
      <c r="E10" s="480"/>
      <c r="F10" s="480"/>
    </row>
    <row r="11" spans="1:9">
      <c r="C11" s="476" t="s">
        <v>235</v>
      </c>
      <c r="D11" s="481">
        <f>-PV(3.5%/12,360,D10,0,0)</f>
        <v>0</v>
      </c>
      <c r="E11" s="481">
        <f>-PV(3.5%/12,360,E10,0,0)</f>
        <v>0</v>
      </c>
      <c r="F11" s="481">
        <f>-PV(3.5%/12,360,F10,0,0)</f>
        <v>0</v>
      </c>
    </row>
    <row r="12" spans="1:9">
      <c r="C12" s="476" t="s">
        <v>236</v>
      </c>
      <c r="D12" s="475" t="e">
        <f>D7*Revenue!J41</f>
        <v>#DIV/0!</v>
      </c>
      <c r="E12" s="475" t="e">
        <f>Revenue!J41*E7</f>
        <v>#DIV/0!</v>
      </c>
      <c r="F12" s="475" t="e">
        <f>Revenue!J41*F7</f>
        <v>#DIV/0!</v>
      </c>
    </row>
    <row r="13" spans="1:9">
      <c r="C13" s="476" t="s">
        <v>222</v>
      </c>
      <c r="D13" s="481">
        <f>D11*D7</f>
        <v>0</v>
      </c>
      <c r="E13" s="481">
        <f>E11*E7</f>
        <v>0</v>
      </c>
      <c r="F13" s="481">
        <f>F11*F7</f>
        <v>0</v>
      </c>
    </row>
    <row r="14" spans="1:9">
      <c r="C14" s="476" t="s">
        <v>223</v>
      </c>
      <c r="D14" s="482" t="e">
        <f>SUM(D12:D13)</f>
        <v>#DIV/0!</v>
      </c>
      <c r="E14" s="482" t="e">
        <f>SUM(E12:E13)</f>
        <v>#DIV/0!</v>
      </c>
      <c r="F14" s="482" t="e">
        <f>SUM(F12:F13)</f>
        <v>#DIV/0!</v>
      </c>
    </row>
    <row r="16" spans="1:9">
      <c r="C16" s="476"/>
      <c r="D16" s="483"/>
    </row>
    <row r="17" spans="3:4">
      <c r="C17" s="476"/>
    </row>
    <row r="19" spans="3:4">
      <c r="C19" s="476"/>
      <c r="D19" s="484"/>
    </row>
    <row r="20" spans="3:4">
      <c r="C20" s="476"/>
      <c r="D20" s="485"/>
    </row>
    <row r="21" spans="3:4">
      <c r="C21" s="476"/>
      <c r="D21" s="486"/>
    </row>
    <row r="22" spans="3:4">
      <c r="C22" s="476"/>
      <c r="D22" s="484"/>
    </row>
    <row r="23" spans="3:4">
      <c r="C23" s="476"/>
      <c r="D23" s="484"/>
    </row>
    <row r="24" spans="3:4">
      <c r="C24" s="476"/>
      <c r="D24" s="487"/>
    </row>
    <row r="25" spans="3:4">
      <c r="C25" s="476"/>
      <c r="D25" s="488"/>
    </row>
    <row r="26" spans="3:4">
      <c r="C26" s="476"/>
      <c r="D26" s="488"/>
    </row>
  </sheetData>
  <mergeCells count="1">
    <mergeCell ref="G7:I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</vt:lpstr>
      <vt:lpstr>Development Budget</vt:lpstr>
      <vt:lpstr>Sources &amp; Uses</vt:lpstr>
      <vt:lpstr>Operating Expenses</vt:lpstr>
      <vt:lpstr>Affordability Analysis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mfletcher</dc:creator>
  <cp:lastModifiedBy>Liz Bieber</cp:lastModifiedBy>
  <dcterms:created xsi:type="dcterms:W3CDTF">2020-07-30T18:22:30Z</dcterms:created>
  <dcterms:modified xsi:type="dcterms:W3CDTF">2020-07-31T22:51:09Z</dcterms:modified>
</cp:coreProperties>
</file>